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ukhovarov.VINTUSWINES\Desktop\New folder\"/>
    </mc:Choice>
  </mc:AlternateContent>
  <xr:revisionPtr revIDLastSave="0" documentId="8_{8E5379B7-BFB5-4EAF-BCDA-D0A6E48B9A63}" xr6:coauthVersionLast="38" xr6:coauthVersionMax="38" xr10:uidLastSave="{00000000-0000-0000-0000-000000000000}"/>
  <bookViews>
    <workbookView xWindow="360" yWindow="765" windowWidth="22995" windowHeight="10905" xr2:uid="{00000000-000D-0000-FFFF-FFFF00000000}"/>
  </bookViews>
  <sheets>
    <sheet name="Specs" sheetId="100" r:id="rId1"/>
    <sheet name="Sheet1" sheetId="101" r:id="rId2"/>
  </sheets>
  <definedNames>
    <definedName name="_xlnm._FilterDatabase" localSheetId="0" hidden="1">Specs!#REF!</definedName>
    <definedName name="InBatchBrandCode">Specs!#REF!</definedName>
    <definedName name="_xlnm.Print_Area" localSheetId="0">Specs!$B$1:$AE$46</definedName>
    <definedName name="_xlnm.Print_Titles" localSheetId="0">Specs!$2:$2</definedName>
  </definedNames>
  <calcPr calcId="181029"/>
</workbook>
</file>

<file path=xl/calcChain.xml><?xml version="1.0" encoding="utf-8"?>
<calcChain xmlns="http://schemas.openxmlformats.org/spreadsheetml/2006/main">
  <c r="AG17" i="100" l="1"/>
  <c r="AG18" i="100"/>
  <c r="P18" i="100" s="1"/>
  <c r="AG19" i="100"/>
  <c r="AG20" i="100"/>
  <c r="AG21" i="100"/>
  <c r="AG22" i="100"/>
  <c r="P22" i="100" s="1"/>
  <c r="AG23" i="100"/>
  <c r="I17" i="100"/>
  <c r="I18" i="100"/>
  <c r="I19" i="100"/>
  <c r="I20" i="100"/>
  <c r="I21" i="100"/>
  <c r="I22" i="100"/>
  <c r="I23" i="100"/>
  <c r="H17" i="100"/>
  <c r="H18" i="100"/>
  <c r="H19" i="100"/>
  <c r="H20" i="100"/>
  <c r="H21" i="100"/>
  <c r="H22" i="100"/>
  <c r="H23" i="100"/>
  <c r="G17" i="100"/>
  <c r="G18" i="100"/>
  <c r="G19" i="100"/>
  <c r="G20" i="100"/>
  <c r="G21" i="100"/>
  <c r="G22" i="100"/>
  <c r="G23" i="100"/>
  <c r="F17" i="100"/>
  <c r="F18" i="100"/>
  <c r="F19" i="100"/>
  <c r="F20" i="100"/>
  <c r="F21" i="100"/>
  <c r="F22" i="100"/>
  <c r="F23" i="100"/>
  <c r="C17" i="100"/>
  <c r="C18" i="100"/>
  <c r="C19" i="100"/>
  <c r="C20" i="100"/>
  <c r="C21" i="100"/>
  <c r="C22" i="100"/>
  <c r="C23" i="100"/>
  <c r="B17" i="100"/>
  <c r="B18" i="100"/>
  <c r="B19" i="100"/>
  <c r="B20" i="100"/>
  <c r="L20" i="100" s="1"/>
  <c r="B21" i="100"/>
  <c r="K21" i="100" s="1"/>
  <c r="B22" i="100"/>
  <c r="B23" i="100"/>
  <c r="R17" i="100"/>
  <c r="R18" i="100"/>
  <c r="R19" i="100"/>
  <c r="R20" i="100"/>
  <c r="R21" i="100"/>
  <c r="R22" i="100"/>
  <c r="R23" i="100"/>
  <c r="Q17" i="100"/>
  <c r="Q18" i="100"/>
  <c r="Q19" i="100"/>
  <c r="O19" i="100" s="1"/>
  <c r="Q20" i="100"/>
  <c r="Q21" i="100"/>
  <c r="Q22" i="100"/>
  <c r="Q23" i="100"/>
  <c r="O23" i="100" s="1"/>
  <c r="AE23" i="100"/>
  <c r="AD23" i="100"/>
  <c r="Z23" i="100"/>
  <c r="P23" i="100"/>
  <c r="M23" i="100"/>
  <c r="L23" i="100"/>
  <c r="K23" i="100"/>
  <c r="A23" i="100"/>
  <c r="AE22" i="100"/>
  <c r="AD22" i="100"/>
  <c r="Z22" i="100"/>
  <c r="O22" i="100"/>
  <c r="M22" i="100"/>
  <c r="L22" i="100"/>
  <c r="K22" i="100"/>
  <c r="A22" i="100"/>
  <c r="AE21" i="100"/>
  <c r="AD21" i="100"/>
  <c r="Z21" i="100"/>
  <c r="P21" i="100"/>
  <c r="O21" i="100"/>
  <c r="M21" i="100"/>
  <c r="A21" i="100"/>
  <c r="AE20" i="100"/>
  <c r="AD20" i="100"/>
  <c r="Z20" i="100"/>
  <c r="P20" i="100"/>
  <c r="O20" i="100"/>
  <c r="K20" i="100"/>
  <c r="A20" i="100"/>
  <c r="AE19" i="100"/>
  <c r="AD19" i="100"/>
  <c r="Z19" i="100"/>
  <c r="P19" i="100"/>
  <c r="M19" i="100"/>
  <c r="L19" i="100"/>
  <c r="K19" i="100"/>
  <c r="A19" i="100"/>
  <c r="AE18" i="100"/>
  <c r="AD18" i="100"/>
  <c r="Z18" i="100"/>
  <c r="O18" i="100"/>
  <c r="M18" i="100"/>
  <c r="L18" i="100"/>
  <c r="K18" i="100"/>
  <c r="A18" i="100"/>
  <c r="AG24" i="100"/>
  <c r="AG25" i="100"/>
  <c r="AG26" i="100"/>
  <c r="AG27" i="100"/>
  <c r="I24" i="100"/>
  <c r="I25" i="100"/>
  <c r="I26" i="100"/>
  <c r="I27" i="100"/>
  <c r="H24" i="100"/>
  <c r="H25" i="100"/>
  <c r="H26" i="100"/>
  <c r="H27" i="100"/>
  <c r="G24" i="100"/>
  <c r="G25" i="100"/>
  <c r="G26" i="100"/>
  <c r="G27" i="100"/>
  <c r="F24" i="100"/>
  <c r="F25" i="100"/>
  <c r="F26" i="100"/>
  <c r="F27" i="100"/>
  <c r="C24" i="100"/>
  <c r="C25" i="100"/>
  <c r="C26" i="100"/>
  <c r="C27" i="100"/>
  <c r="B24" i="100"/>
  <c r="B25" i="100"/>
  <c r="M25" i="100" s="1"/>
  <c r="B26" i="100"/>
  <c r="B27" i="100"/>
  <c r="L27" i="100" s="1"/>
  <c r="R24" i="100"/>
  <c r="R25" i="100"/>
  <c r="R26" i="100"/>
  <c r="R27" i="100"/>
  <c r="Q24" i="100"/>
  <c r="Q25" i="100"/>
  <c r="O25" i="100" s="1"/>
  <c r="Q26" i="100"/>
  <c r="Q27" i="100"/>
  <c r="AE27" i="100"/>
  <c r="AD27" i="100"/>
  <c r="Z27" i="100"/>
  <c r="P27" i="100"/>
  <c r="O27" i="100"/>
  <c r="M27" i="100"/>
  <c r="K27" i="100"/>
  <c r="A27" i="100"/>
  <c r="AE26" i="100"/>
  <c r="AD26" i="100"/>
  <c r="Z26" i="100"/>
  <c r="P26" i="100"/>
  <c r="O26" i="100"/>
  <c r="M26" i="100"/>
  <c r="L26" i="100"/>
  <c r="K26" i="100"/>
  <c r="A26" i="100"/>
  <c r="AE25" i="100"/>
  <c r="AD25" i="100"/>
  <c r="Z25" i="100"/>
  <c r="P25" i="100"/>
  <c r="L25" i="100"/>
  <c r="A25" i="100"/>
  <c r="AG28" i="100"/>
  <c r="AG29" i="100"/>
  <c r="P29" i="100" s="1"/>
  <c r="AG30" i="100"/>
  <c r="P30" i="100" s="1"/>
  <c r="I28" i="100"/>
  <c r="I29" i="100"/>
  <c r="I30" i="100"/>
  <c r="H28" i="100"/>
  <c r="H29" i="100"/>
  <c r="H30" i="100"/>
  <c r="G28" i="100"/>
  <c r="G29" i="100"/>
  <c r="G30" i="100"/>
  <c r="F28" i="100"/>
  <c r="F29" i="100"/>
  <c r="F30" i="100"/>
  <c r="C28" i="100"/>
  <c r="C29" i="100"/>
  <c r="C30" i="100"/>
  <c r="B28" i="100"/>
  <c r="B29" i="100"/>
  <c r="B30" i="100"/>
  <c r="R28" i="100"/>
  <c r="R29" i="100"/>
  <c r="R30" i="100"/>
  <c r="Q28" i="100"/>
  <c r="Q29" i="100"/>
  <c r="O29" i="100" s="1"/>
  <c r="Q30" i="100"/>
  <c r="O30" i="100" s="1"/>
  <c r="AE30" i="100"/>
  <c r="AD30" i="100"/>
  <c r="Z30" i="100"/>
  <c r="M30" i="100"/>
  <c r="L30" i="100"/>
  <c r="K30" i="100"/>
  <c r="A30" i="100"/>
  <c r="AE29" i="100"/>
  <c r="AD29" i="100"/>
  <c r="Z29" i="100"/>
  <c r="M29" i="100"/>
  <c r="L29" i="100"/>
  <c r="K29" i="100"/>
  <c r="A29" i="100"/>
  <c r="AG31" i="100"/>
  <c r="AG32" i="100"/>
  <c r="P32" i="100" s="1"/>
  <c r="AG33" i="100"/>
  <c r="I31" i="100"/>
  <c r="I32" i="100"/>
  <c r="I33" i="100"/>
  <c r="H31" i="100"/>
  <c r="H32" i="100"/>
  <c r="H33" i="100"/>
  <c r="G31" i="100"/>
  <c r="G32" i="100"/>
  <c r="G33" i="100"/>
  <c r="F31" i="100"/>
  <c r="F32" i="100"/>
  <c r="F33" i="100"/>
  <c r="C31" i="100"/>
  <c r="C32" i="100"/>
  <c r="C33" i="100"/>
  <c r="B31" i="100"/>
  <c r="B32" i="100"/>
  <c r="L32" i="100" s="1"/>
  <c r="B33" i="100"/>
  <c r="M33" i="100" s="1"/>
  <c r="R31" i="100"/>
  <c r="R32" i="100"/>
  <c r="R33" i="100"/>
  <c r="Q31" i="100"/>
  <c r="Q32" i="100"/>
  <c r="Q33" i="100"/>
  <c r="AE33" i="100"/>
  <c r="AD33" i="100"/>
  <c r="Z33" i="100"/>
  <c r="P33" i="100"/>
  <c r="O33" i="100"/>
  <c r="A33" i="100"/>
  <c r="AE32" i="100"/>
  <c r="AD32" i="100"/>
  <c r="Z32" i="100"/>
  <c r="O32" i="100"/>
  <c r="M32" i="100"/>
  <c r="K32" i="100"/>
  <c r="A32" i="100"/>
  <c r="AG5" i="100"/>
  <c r="AG6" i="100"/>
  <c r="AG7" i="100"/>
  <c r="AG8" i="100"/>
  <c r="AG9" i="100"/>
  <c r="P9" i="100" s="1"/>
  <c r="AG10" i="100"/>
  <c r="AG11" i="100"/>
  <c r="AG12" i="100"/>
  <c r="AG13" i="100"/>
  <c r="P13" i="100" s="1"/>
  <c r="AG14" i="100"/>
  <c r="AG15" i="100"/>
  <c r="AG16" i="100"/>
  <c r="I5" i="100"/>
  <c r="I6" i="100"/>
  <c r="I7" i="100"/>
  <c r="I8" i="100"/>
  <c r="I9" i="100"/>
  <c r="I10" i="100"/>
  <c r="I11" i="100"/>
  <c r="I12" i="100"/>
  <c r="I13" i="100"/>
  <c r="I14" i="100"/>
  <c r="I15" i="100"/>
  <c r="I16" i="100"/>
  <c r="H5" i="100"/>
  <c r="H6" i="100"/>
  <c r="H7" i="100"/>
  <c r="H8" i="100"/>
  <c r="H9" i="100"/>
  <c r="H10" i="100"/>
  <c r="H11" i="100"/>
  <c r="H12" i="100"/>
  <c r="H13" i="100"/>
  <c r="H14" i="100"/>
  <c r="H15" i="100"/>
  <c r="H16" i="100"/>
  <c r="G5" i="100"/>
  <c r="G6" i="100"/>
  <c r="G7" i="100"/>
  <c r="G8" i="100"/>
  <c r="G9" i="100"/>
  <c r="G10" i="100"/>
  <c r="G11" i="100"/>
  <c r="G12" i="100"/>
  <c r="G13" i="100"/>
  <c r="G14" i="100"/>
  <c r="G15" i="100"/>
  <c r="G16" i="100"/>
  <c r="F5" i="100"/>
  <c r="F6" i="100"/>
  <c r="F7" i="100"/>
  <c r="F8" i="100"/>
  <c r="F9" i="100"/>
  <c r="F10" i="100"/>
  <c r="F11" i="100"/>
  <c r="F12" i="100"/>
  <c r="F13" i="100"/>
  <c r="F14" i="100"/>
  <c r="F15" i="100"/>
  <c r="F16" i="100"/>
  <c r="C5" i="100"/>
  <c r="C6" i="100"/>
  <c r="C7" i="100"/>
  <c r="C8" i="100"/>
  <c r="C9" i="100"/>
  <c r="C10" i="100"/>
  <c r="C11" i="100"/>
  <c r="C12" i="100"/>
  <c r="C13" i="100"/>
  <c r="C14" i="100"/>
  <c r="C15" i="100"/>
  <c r="C16" i="100"/>
  <c r="B5" i="100"/>
  <c r="B6" i="100"/>
  <c r="B7" i="100"/>
  <c r="B8" i="100"/>
  <c r="M8" i="100" s="1"/>
  <c r="B9" i="100"/>
  <c r="K9" i="100" s="1"/>
  <c r="B10" i="100"/>
  <c r="B11" i="100"/>
  <c r="B12" i="100"/>
  <c r="M12" i="100" s="1"/>
  <c r="B13" i="100"/>
  <c r="L13" i="100" s="1"/>
  <c r="B14" i="100"/>
  <c r="K14" i="100" s="1"/>
  <c r="B15" i="100"/>
  <c r="B16" i="100"/>
  <c r="L16" i="100" s="1"/>
  <c r="R5" i="100"/>
  <c r="R6" i="100"/>
  <c r="R7" i="100"/>
  <c r="R8" i="100"/>
  <c r="R9" i="100"/>
  <c r="R10" i="100"/>
  <c r="R11" i="100"/>
  <c r="R12" i="100"/>
  <c r="R13" i="100"/>
  <c r="R14" i="100"/>
  <c r="R15" i="100"/>
  <c r="R16" i="100"/>
  <c r="Q5" i="100"/>
  <c r="Q6" i="100"/>
  <c r="Q7" i="100"/>
  <c r="O7" i="100" s="1"/>
  <c r="Q8" i="100"/>
  <c r="Q9" i="100"/>
  <c r="Q10" i="100"/>
  <c r="Q11" i="100"/>
  <c r="O11" i="100" s="1"/>
  <c r="Q12" i="100"/>
  <c r="Q13" i="100"/>
  <c r="O13" i="100" s="1"/>
  <c r="Q14" i="100"/>
  <c r="Q15" i="100"/>
  <c r="O15" i="100" s="1"/>
  <c r="Q16" i="100"/>
  <c r="AE16" i="100"/>
  <c r="AD16" i="100"/>
  <c r="Z16" i="100"/>
  <c r="P16" i="100"/>
  <c r="O16" i="100"/>
  <c r="K16" i="100"/>
  <c r="A16" i="100"/>
  <c r="AE15" i="100"/>
  <c r="AD15" i="100"/>
  <c r="Z15" i="100"/>
  <c r="P15" i="100"/>
  <c r="M15" i="100"/>
  <c r="L15" i="100"/>
  <c r="K15" i="100"/>
  <c r="A15" i="100"/>
  <c r="AE14" i="100"/>
  <c r="AD14" i="100"/>
  <c r="Z14" i="100"/>
  <c r="P14" i="100"/>
  <c r="O14" i="100"/>
  <c r="M14" i="100"/>
  <c r="L14" i="100"/>
  <c r="A14" i="100"/>
  <c r="AE13" i="100"/>
  <c r="AD13" i="100"/>
  <c r="Z13" i="100"/>
  <c r="M13" i="100"/>
  <c r="A13" i="100"/>
  <c r="AE12" i="100"/>
  <c r="AD12" i="100"/>
  <c r="Z12" i="100"/>
  <c r="P12" i="100"/>
  <c r="O12" i="100"/>
  <c r="K12" i="100"/>
  <c r="A12" i="100"/>
  <c r="AE11" i="100"/>
  <c r="AD11" i="100"/>
  <c r="Z11" i="100"/>
  <c r="P11" i="100"/>
  <c r="M11" i="100"/>
  <c r="L11" i="100"/>
  <c r="K11" i="100"/>
  <c r="A11" i="100"/>
  <c r="AE10" i="100"/>
  <c r="AD10" i="100"/>
  <c r="Z10" i="100"/>
  <c r="P10" i="100"/>
  <c r="O10" i="100"/>
  <c r="M10" i="100"/>
  <c r="L10" i="100"/>
  <c r="K10" i="100"/>
  <c r="A10" i="100"/>
  <c r="AE9" i="100"/>
  <c r="AD9" i="100"/>
  <c r="Z9" i="100"/>
  <c r="O9" i="100"/>
  <c r="M9" i="100"/>
  <c r="A9" i="100"/>
  <c r="AE8" i="100"/>
  <c r="AD8" i="100"/>
  <c r="Z8" i="100"/>
  <c r="P8" i="100"/>
  <c r="O8" i="100"/>
  <c r="K8" i="100"/>
  <c r="A8" i="100"/>
  <c r="AE7" i="100"/>
  <c r="AD7" i="100"/>
  <c r="Z7" i="100"/>
  <c r="P7" i="100"/>
  <c r="M7" i="100"/>
  <c r="L7" i="100"/>
  <c r="K7" i="100"/>
  <c r="A7" i="100"/>
  <c r="AE6" i="100"/>
  <c r="AD6" i="100"/>
  <c r="Z6" i="100"/>
  <c r="P6" i="100"/>
  <c r="O6" i="100"/>
  <c r="M6" i="100"/>
  <c r="L6" i="100"/>
  <c r="K6" i="100"/>
  <c r="A6" i="100"/>
  <c r="A35" i="100"/>
  <c r="A34" i="100"/>
  <c r="A31" i="100"/>
  <c r="A28" i="100"/>
  <c r="A24" i="100"/>
  <c r="A17" i="100"/>
  <c r="B37" i="100"/>
  <c r="A38" i="100"/>
  <c r="L8" i="100" l="1"/>
  <c r="L9" i="100"/>
  <c r="M16" i="100"/>
  <c r="M20" i="100"/>
  <c r="L21" i="100"/>
  <c r="L12" i="100"/>
  <c r="K13" i="100"/>
  <c r="K33" i="100"/>
  <c r="L33" i="100"/>
  <c r="K25" i="100"/>
  <c r="A5" i="100"/>
  <c r="K5" i="100" l="1"/>
  <c r="L5" i="100"/>
  <c r="M5" i="100"/>
  <c r="O5" i="100"/>
  <c r="P5" i="100" l="1"/>
  <c r="AD17" i="100" l="1"/>
  <c r="Z17" i="100"/>
  <c r="AE17" i="100"/>
  <c r="O17" i="100"/>
  <c r="M17" i="100"/>
  <c r="L17" i="100"/>
  <c r="K17" i="100"/>
  <c r="P17" i="100"/>
  <c r="Z5" i="100"/>
  <c r="Z24" i="100" l="1"/>
  <c r="AE24" i="100"/>
  <c r="AD24" i="100"/>
  <c r="O24" i="100"/>
  <c r="M24" i="100"/>
  <c r="L24" i="100"/>
  <c r="K24" i="100"/>
  <c r="P24" i="100"/>
  <c r="AD5" i="100"/>
  <c r="AE5" i="100"/>
  <c r="AD28" i="100" l="1"/>
  <c r="Z28" i="100"/>
  <c r="AE28" i="100"/>
  <c r="O28" i="100"/>
  <c r="P28" i="100"/>
  <c r="M28" i="100"/>
  <c r="L28" i="100"/>
  <c r="K28" i="100"/>
  <c r="Z31" i="100" l="1"/>
  <c r="AE31" i="100"/>
  <c r="AD31" i="100"/>
  <c r="O31" i="100"/>
  <c r="M31" i="100"/>
  <c r="L31" i="100"/>
  <c r="K31" i="100"/>
  <c r="P31" i="100"/>
  <c r="AD38" i="100"/>
  <c r="AE38" i="100"/>
  <c r="Z38" i="100"/>
  <c r="O38" i="100"/>
  <c r="L38" i="100"/>
  <c r="K38" i="100"/>
  <c r="M38" i="100"/>
  <c r="P38" i="100"/>
  <c r="Z34" i="100" l="1"/>
  <c r="AE34" i="100"/>
  <c r="AD34" i="100"/>
  <c r="AD35" i="100"/>
  <c r="Z35" i="100"/>
  <c r="AE35" i="100"/>
  <c r="O34" i="100"/>
  <c r="O35" i="100"/>
  <c r="M34" i="100"/>
  <c r="L34" i="100"/>
  <c r="K34" i="100"/>
  <c r="P34" i="100"/>
  <c r="M35" i="100"/>
  <c r="L35" i="100"/>
  <c r="K35" i="100"/>
  <c r="P35" i="100"/>
</calcChain>
</file>

<file path=xl/sharedStrings.xml><?xml version="1.0" encoding="utf-8"?>
<sst xmlns="http://schemas.openxmlformats.org/spreadsheetml/2006/main" count="240" uniqueCount="93">
  <si>
    <t>Wine</t>
  </si>
  <si>
    <t>Vintage</t>
  </si>
  <si>
    <t>Brand</t>
  </si>
  <si>
    <t>Cases/
Pallet</t>
  </si>
  <si>
    <t>Case Pack</t>
  </si>
  <si>
    <t>Case Weight (lbs.)</t>
  </si>
  <si>
    <t>Case Cube (Ft)</t>
  </si>
  <si>
    <t>Pallet Tie</t>
  </si>
  <si>
    <t>Pallet Hi</t>
  </si>
  <si>
    <t>UPC/EAN
code</t>
  </si>
  <si>
    <t>Pallet Weight (lbs.)</t>
  </si>
  <si>
    <t>Case Length (in.)</t>
  </si>
  <si>
    <t>Case Width   (in.)</t>
  </si>
  <si>
    <t>Case Height (in.)</t>
  </si>
  <si>
    <t>Pallet Height (in.)</t>
  </si>
  <si>
    <t>Case SCC
(Actual)</t>
  </si>
  <si>
    <t>Size Description</t>
  </si>
  <si>
    <t>Gift Box</t>
  </si>
  <si>
    <t>Varietal</t>
  </si>
  <si>
    <t>Appellation</t>
  </si>
  <si>
    <t>Color</t>
  </si>
  <si>
    <t>Product Specification</t>
  </si>
  <si>
    <t/>
  </si>
  <si>
    <t>Bottle Vol.</t>
  </si>
  <si>
    <t>Closure</t>
  </si>
  <si>
    <t>Organic</t>
  </si>
  <si>
    <t>Sustainable</t>
  </si>
  <si>
    <t>Vegan</t>
  </si>
  <si>
    <t>Alc.</t>
  </si>
  <si>
    <t>UPC/
EAN</t>
  </si>
  <si>
    <t>Btl. Width &amp; Depth (in.)</t>
  </si>
  <si>
    <t>Btl. Height (in.)</t>
  </si>
  <si>
    <t>Btl. Weight (lbs.)</t>
  </si>
  <si>
    <t>Attems</t>
  </si>
  <si>
    <t>No</t>
  </si>
  <si>
    <t>Casisano</t>
  </si>
  <si>
    <t>Yes</t>
  </si>
  <si>
    <t>Ch. du Glana</t>
  </si>
  <si>
    <t>Ch. Montelena</t>
  </si>
  <si>
    <t>Ch. Margaux</t>
  </si>
  <si>
    <t>Champagne Ayala</t>
  </si>
  <si>
    <t>Champagne Bollinger</t>
  </si>
  <si>
    <t>Christian Moueix</t>
  </si>
  <si>
    <t>Chateau de Nalys</t>
  </si>
  <si>
    <t>Disznoko</t>
  </si>
  <si>
    <t>Dog Point Vineyard</t>
  </si>
  <si>
    <t>Domaine Chanson</t>
  </si>
  <si>
    <t>Domaine des Baumard</t>
  </si>
  <si>
    <t>Domaine Talmard</t>
  </si>
  <si>
    <t>E. Guigal</t>
  </si>
  <si>
    <t>Errazuriz</t>
  </si>
  <si>
    <t>Ferrer Bobet</t>
  </si>
  <si>
    <t>Finca Decero</t>
  </si>
  <si>
    <t>Ginraw</t>
  </si>
  <si>
    <t>Heartland</t>
  </si>
  <si>
    <t>Langlois-Chateau</t>
  </si>
  <si>
    <t>Le Macchiole</t>
  </si>
  <si>
    <t>Luce</t>
  </si>
  <si>
    <t>Masciarelli</t>
  </si>
  <si>
    <t>Milhade</t>
  </si>
  <si>
    <t>Mitolo</t>
  </si>
  <si>
    <t>Ornellaia</t>
  </si>
  <si>
    <t>Paternoster</t>
  </si>
  <si>
    <t>Petrolo</t>
  </si>
  <si>
    <t>Ponzi</t>
  </si>
  <si>
    <t>Quinta do Noval</t>
  </si>
  <si>
    <t>Rotem and Mounir Saouma</t>
  </si>
  <si>
    <t>Sandrone</t>
  </si>
  <si>
    <t>Telmo Rodriguez</t>
  </si>
  <si>
    <t>Tesseron Cognac</t>
  </si>
  <si>
    <t>Tommasi</t>
  </si>
  <si>
    <t>1x750ml C</t>
  </si>
  <si>
    <t>3x750ml C</t>
  </si>
  <si>
    <t>1x1.5L Gift</t>
  </si>
  <si>
    <t>40852165006254</t>
  </si>
  <si>
    <t>30852165006271</t>
  </si>
  <si>
    <t>30852165006325</t>
  </si>
  <si>
    <t>SPARKLING BLEND</t>
  </si>
  <si>
    <t>PINOT NOIR</t>
  </si>
  <si>
    <t>CORK</t>
  </si>
  <si>
    <t>852165006256</t>
  </si>
  <si>
    <t>852165006270</t>
  </si>
  <si>
    <t>852165006324</t>
  </si>
  <si>
    <t>Vieilles Vignes Francaises</t>
  </si>
  <si>
    <t>La Cote aux Enfants Coteaux Champenois</t>
  </si>
  <si>
    <t>Crystal Set R.D.</t>
  </si>
  <si>
    <t>2007</t>
  </si>
  <si>
    <t>2014</t>
  </si>
  <si>
    <t>1988</t>
  </si>
  <si>
    <t>White</t>
  </si>
  <si>
    <t>Red</t>
  </si>
  <si>
    <t>CHAMPAGNE</t>
  </si>
  <si>
    <t>COTEAUX CHAMPENOIS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</si>
</sst>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%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ck">
        <color theme="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2" applyNumberFormat="0" applyFill="0" applyAlignment="0" applyProtection="0"/>
    <xf numFmtId="0" fontId="7" fillId="5" borderId="0" applyNumberFormat="0" applyBorder="0" applyAlignment="0" applyProtection="0"/>
    <xf numFmtId="0" fontId="8" fillId="0" borderId="0"/>
    <xf numFmtId="0" fontId="7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6" fillId="4" borderId="0" xfId="3" applyFont="1" applyFill="1" applyBorder="1"/>
    <xf numFmtId="2" fontId="0" fillId="0" borderId="0" xfId="0" applyNumberFormat="1" applyFill="1"/>
    <xf numFmtId="2" fontId="0" fillId="0" borderId="0" xfId="0" applyNumberFormat="1"/>
    <xf numFmtId="2" fontId="6" fillId="4" borderId="0" xfId="3" applyNumberFormat="1" applyFont="1" applyFill="1" applyBorder="1"/>
    <xf numFmtId="2" fontId="2" fillId="2" borderId="0" xfId="1" applyNumberFormat="1"/>
    <xf numFmtId="164" fontId="0" fillId="0" borderId="1" xfId="0" applyNumberFormat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7" fillId="5" borderId="3" xfId="4" applyBorder="1"/>
    <xf numFmtId="0" fontId="7" fillId="5" borderId="1" xfId="4" applyBorder="1"/>
    <xf numFmtId="0" fontId="2" fillId="2" borderId="0" xfId="1"/>
    <xf numFmtId="0" fontId="0" fillId="0" borderId="5" xfId="0" applyBorder="1"/>
    <xf numFmtId="0" fontId="7" fillId="5" borderId="1" xfId="4" applyBorder="1" applyAlignment="1">
      <alignment horizontal="center"/>
    </xf>
    <xf numFmtId="0" fontId="3" fillId="0" borderId="3" xfId="0" applyFont="1" applyBorder="1"/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2" fontId="0" fillId="0" borderId="0" xfId="0" applyNumberFormat="1" applyBorder="1"/>
    <xf numFmtId="2" fontId="7" fillId="5" borderId="1" xfId="4" applyNumberFormat="1" applyBorder="1" applyAlignment="1">
      <alignment horizontal="center"/>
    </xf>
    <xf numFmtId="0" fontId="1" fillId="0" borderId="0" xfId="2" applyFont="1" applyFill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9" fillId="2" borderId="0" xfId="1" applyFont="1" applyAlignment="1">
      <alignment horizontal="center" vertical="center" wrapText="1"/>
    </xf>
    <xf numFmtId="0" fontId="9" fillId="2" borderId="0" xfId="1" applyFont="1" applyBorder="1" applyAlignment="1">
      <alignment horizontal="center" vertical="center" wrapText="1"/>
    </xf>
    <xf numFmtId="2" fontId="9" fillId="2" borderId="0" xfId="1" applyNumberFormat="1" applyFont="1" applyAlignment="1">
      <alignment horizontal="center" vertical="center" wrapText="1"/>
    </xf>
    <xf numFmtId="0" fontId="0" fillId="0" borderId="3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9" fillId="0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7">
    <cellStyle name="20% - Accent1" xfId="4" builtinId="30"/>
    <cellStyle name="Accent1" xfId="1" builtinId="29"/>
    <cellStyle name="Accent2" xfId="2" builtinId="33"/>
    <cellStyle name="Heading 1" xfId="3" builtinId="16"/>
    <cellStyle name="Normal" xfId="0" builtinId="0"/>
    <cellStyle name="Normal 2" xfId="6" xr:uid="{00000000-0005-0000-0000-000005000000}"/>
    <cellStyle name="Normal 3" xfId="5" xr:uid="{00000000-0005-0000-0000-000006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064A2"/>
      <color rgb="FF4F81BD"/>
      <color rgb="FFDDDDDD"/>
      <color rgb="FFF8F8F8"/>
      <color rgb="FFFFFFCC"/>
      <color rgb="FFFFCC99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39BFC-9F85-4C17-B2AB-6371F6C60405}">
  <sheetPr>
    <pageSetUpPr fitToPage="1"/>
  </sheetPr>
  <dimension ref="A1:AG60"/>
  <sheetViews>
    <sheetView tabSelected="1" zoomScale="85" zoomScaleNormal="85" zoomScaleSheetLayoutView="85" workbookViewId="0">
      <pane xSplit="1" ySplit="2" topLeftCell="B3" activePane="bottomRight" state="frozen"/>
      <selection activeCell="E13" sqref="E13"/>
      <selection pane="topRight" activeCell="K13" sqref="K13"/>
      <selection pane="bottomLeft" activeCell="E18" sqref="E18"/>
      <selection pane="bottomRight" activeCell="T6" sqref="T6"/>
    </sheetView>
  </sheetViews>
  <sheetFormatPr defaultRowHeight="15" x14ac:dyDescent="0.25"/>
  <cols>
    <col min="1" max="1" width="0.42578125" style="10" customWidth="1"/>
    <col min="2" max="2" width="17" style="1" customWidth="1"/>
    <col min="3" max="3" width="23.85546875" style="10" customWidth="1"/>
    <col min="4" max="4" width="4.7109375" style="10" customWidth="1"/>
    <col min="5" max="5" width="6.140625" style="3" customWidth="1"/>
    <col min="6" max="6" width="7.28515625" style="10" customWidth="1"/>
    <col min="7" max="7" width="7" style="10" customWidth="1"/>
    <col min="8" max="8" width="14.28515625" style="10" customWidth="1"/>
    <col min="9" max="9" width="15.28515625" style="10" customWidth="1"/>
    <col min="10" max="10" width="9.140625" style="10" customWidth="1"/>
    <col min="11" max="11" width="6.85546875" style="10" customWidth="1"/>
    <col min="12" max="13" width="6.42578125" style="10" customWidth="1"/>
    <col min="14" max="14" width="5.85546875" style="3" customWidth="1"/>
    <col min="15" max="15" width="6.5703125" style="3" customWidth="1"/>
    <col min="16" max="16" width="6.7109375" style="3" customWidth="1"/>
    <col min="17" max="17" width="13.28515625" style="3" customWidth="1"/>
    <col min="18" max="18" width="15.28515625" style="3" customWidth="1"/>
    <col min="19" max="19" width="6.140625" style="5" customWidth="1"/>
    <col min="20" max="20" width="6.42578125" style="5" customWidth="1"/>
    <col min="21" max="21" width="5.42578125" style="5" customWidth="1"/>
    <col min="22" max="22" width="6.28515625" style="5" customWidth="1"/>
    <col min="23" max="23" width="5.7109375" style="5" customWidth="1"/>
    <col min="24" max="24" width="6.140625" style="5" customWidth="1"/>
    <col min="25" max="25" width="6.5703125" style="3" customWidth="1"/>
    <col min="26" max="28" width="6" style="3" customWidth="1"/>
    <col min="29" max="29" width="6" style="10" customWidth="1"/>
    <col min="30" max="30" width="6.85546875" style="3" customWidth="1"/>
    <col min="31" max="31" width="7" style="3" customWidth="1"/>
    <col min="32" max="32" width="11" style="10" customWidth="1"/>
    <col min="33" max="33" width="6.7109375" style="10" customWidth="1"/>
    <col min="34" max="37" width="12.5703125" style="10" customWidth="1"/>
    <col min="38" max="38" width="1.7109375" style="10" customWidth="1"/>
    <col min="39" max="39" width="12.85546875" style="10" customWidth="1"/>
    <col min="40" max="16384" width="9.140625" style="10"/>
  </cols>
  <sheetData>
    <row r="1" spans="1:33" ht="18.75" x14ac:dyDescent="0.3">
      <c r="B1" s="38" t="s">
        <v>21</v>
      </c>
      <c r="C1" s="38"/>
      <c r="E1" s="10"/>
      <c r="N1" s="10"/>
      <c r="O1" s="10"/>
      <c r="P1" s="10"/>
      <c r="Q1" s="10"/>
      <c r="R1" s="10"/>
      <c r="S1" s="6"/>
      <c r="T1" s="6"/>
      <c r="U1" s="6"/>
      <c r="V1" s="6"/>
      <c r="W1" s="6"/>
      <c r="X1" s="6"/>
      <c r="Y1" s="10"/>
      <c r="Z1" s="10"/>
      <c r="AA1" s="10"/>
      <c r="AB1" s="10"/>
      <c r="AD1" s="10"/>
      <c r="AE1" s="10"/>
      <c r="AG1" s="27"/>
    </row>
    <row r="2" spans="1:33" s="2" customFormat="1" ht="58.5" customHeight="1" x14ac:dyDescent="0.25">
      <c r="B2" s="29" t="s">
        <v>2</v>
      </c>
      <c r="C2" s="29" t="s">
        <v>0</v>
      </c>
      <c r="D2" s="29" t="s">
        <v>4</v>
      </c>
      <c r="E2" s="29" t="s">
        <v>23</v>
      </c>
      <c r="F2" s="29" t="s">
        <v>1</v>
      </c>
      <c r="G2" s="30" t="s">
        <v>20</v>
      </c>
      <c r="H2" s="30" t="s">
        <v>19</v>
      </c>
      <c r="I2" s="30" t="s">
        <v>18</v>
      </c>
      <c r="J2" s="30" t="s">
        <v>24</v>
      </c>
      <c r="K2" s="30" t="s">
        <v>25</v>
      </c>
      <c r="L2" s="30" t="s">
        <v>26</v>
      </c>
      <c r="M2" s="30" t="s">
        <v>27</v>
      </c>
      <c r="N2" s="29" t="s">
        <v>28</v>
      </c>
      <c r="O2" s="29" t="s">
        <v>29</v>
      </c>
      <c r="P2" s="29" t="s">
        <v>17</v>
      </c>
      <c r="Q2" s="29" t="s">
        <v>9</v>
      </c>
      <c r="R2" s="29" t="s">
        <v>15</v>
      </c>
      <c r="S2" s="31" t="s">
        <v>30</v>
      </c>
      <c r="T2" s="31" t="s">
        <v>31</v>
      </c>
      <c r="U2" s="31" t="s">
        <v>32</v>
      </c>
      <c r="V2" s="31" t="s">
        <v>11</v>
      </c>
      <c r="W2" s="31" t="s">
        <v>12</v>
      </c>
      <c r="X2" s="31" t="s">
        <v>13</v>
      </c>
      <c r="Y2" s="29" t="s">
        <v>5</v>
      </c>
      <c r="Z2" s="29" t="s">
        <v>6</v>
      </c>
      <c r="AA2" s="29" t="s">
        <v>7</v>
      </c>
      <c r="AB2" s="29" t="s">
        <v>8</v>
      </c>
      <c r="AC2" s="29" t="s">
        <v>3</v>
      </c>
      <c r="AD2" s="29" t="s">
        <v>14</v>
      </c>
      <c r="AE2" s="29" t="s">
        <v>10</v>
      </c>
      <c r="AG2" s="26" t="s">
        <v>16</v>
      </c>
    </row>
    <row r="3" spans="1:33" ht="17.25" x14ac:dyDescent="0.3">
      <c r="B3" s="4" t="s">
        <v>41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7"/>
      <c r="T3" s="7"/>
      <c r="U3" s="7"/>
      <c r="V3" s="7"/>
      <c r="W3" s="7"/>
      <c r="X3" s="7"/>
      <c r="Y3" s="4"/>
      <c r="Z3" s="4"/>
      <c r="AA3" s="4"/>
      <c r="AB3" s="4"/>
      <c r="AC3" s="4"/>
      <c r="AD3" s="4"/>
      <c r="AE3" s="4"/>
      <c r="AG3" s="28"/>
    </row>
    <row r="4" spans="1:33" x14ac:dyDescent="0.25">
      <c r="B4" s="21" t="s">
        <v>22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23"/>
      <c r="T4" s="23"/>
      <c r="U4" s="23"/>
      <c r="V4" s="23"/>
      <c r="W4" s="23"/>
      <c r="X4" s="23"/>
      <c r="Y4" s="11"/>
      <c r="Z4" s="11"/>
      <c r="AA4" s="11"/>
      <c r="AB4" s="11"/>
      <c r="AC4" s="11"/>
      <c r="AD4" s="11"/>
      <c r="AE4" s="11"/>
      <c r="AG4" s="28"/>
    </row>
    <row r="5" spans="1:33" x14ac:dyDescent="0.25">
      <c r="A5" s="10" t="e">
        <f>IF(#REF!=0,"Hide","Show")</f>
        <v>#REF!</v>
      </c>
      <c r="B5" s="32" t="str">
        <f>"Champagne Bollinger"</f>
        <v>Champagne Bollinger</v>
      </c>
      <c r="C5" s="33" t="str">
        <f>"Special Cuvee"</f>
        <v>Special Cuvee</v>
      </c>
      <c r="D5" s="34">
        <v>12</v>
      </c>
      <c r="E5" s="34">
        <v>375</v>
      </c>
      <c r="F5" s="34" t="str">
        <f>"NV"</f>
        <v>NV</v>
      </c>
      <c r="G5" s="34" t="str">
        <f>"White"</f>
        <v>White</v>
      </c>
      <c r="H5" s="35" t="str">
        <f>"CHAMPAGNE"</f>
        <v>CHAMPAGNE</v>
      </c>
      <c r="I5" s="35" t="str">
        <f>"SPARKLING BLEND"</f>
        <v>SPARKLING BLEND</v>
      </c>
      <c r="J5" s="13" t="s">
        <v>79</v>
      </c>
      <c r="K5" s="13" t="str">
        <f>VLOOKUP(B5,Sheet1!$A:$D,2,FALSE)</f>
        <v>No</v>
      </c>
      <c r="L5" s="13" t="str">
        <f>VLOOKUP(B5,Sheet1!$A:$D,3,FALSE)</f>
        <v>Yes</v>
      </c>
      <c r="M5" s="13" t="str">
        <f>VLOOKUP(B5,Sheet1!$A:$D,4,FALSE)</f>
        <v>No</v>
      </c>
      <c r="N5" s="9">
        <v>12</v>
      </c>
      <c r="O5" s="13" t="str">
        <f>IF(LEN(Q5)=12,"UPC",IF(LEN(Q5)&gt;12,"EAN",""))</f>
        <v>UPC</v>
      </c>
      <c r="P5" s="13" t="str">
        <f>IF(ISNUMBER(SEARCH("Gift",AG5)),"Gift Box","")</f>
        <v/>
      </c>
      <c r="Q5" s="36" t="str">
        <f>"852165006003"</f>
        <v>852165006003</v>
      </c>
      <c r="R5" s="36" t="str">
        <f>"10852165006000"</f>
        <v>10852165006000</v>
      </c>
      <c r="S5" s="22">
        <v>0</v>
      </c>
      <c r="T5" s="22">
        <v>9.19</v>
      </c>
      <c r="U5" s="22">
        <v>2</v>
      </c>
      <c r="V5" s="22">
        <v>13</v>
      </c>
      <c r="W5" s="22">
        <v>10</v>
      </c>
      <c r="X5" s="22">
        <v>11</v>
      </c>
      <c r="Y5" s="13">
        <v>24</v>
      </c>
      <c r="Z5" s="22">
        <f>IF(V5&gt;0,(V5*W5*X5)/1728,"")</f>
        <v>0.82754629629629628</v>
      </c>
      <c r="AA5" s="13">
        <v>14</v>
      </c>
      <c r="AB5" s="13">
        <v>5</v>
      </c>
      <c r="AC5" s="13">
        <v>70</v>
      </c>
      <c r="AD5" s="13">
        <f>IF(AB5&gt;0,AB5*X5,"")</f>
        <v>55</v>
      </c>
      <c r="AE5" s="13">
        <f>IF(Y5&gt;0,Y5*(AA5*AB5),"")</f>
        <v>1680</v>
      </c>
      <c r="AG5" s="28" t="str">
        <f>"12x375ml C"</f>
        <v>12x375ml C</v>
      </c>
    </row>
    <row r="6" spans="1:33" x14ac:dyDescent="0.25">
      <c r="A6" s="10" t="e">
        <f>IF(#REF!=0,"Hide","Show")</f>
        <v>#REF!</v>
      </c>
      <c r="B6" s="32" t="str">
        <f>"Champagne Bollinger"</f>
        <v>Champagne Bollinger</v>
      </c>
      <c r="C6" s="33" t="str">
        <f>"Special Cuvee"</f>
        <v>Special Cuvee</v>
      </c>
      <c r="D6" s="34">
        <v>12</v>
      </c>
      <c r="E6" s="34">
        <v>375</v>
      </c>
      <c r="F6" s="34" t="str">
        <f>"NV"</f>
        <v>NV</v>
      </c>
      <c r="G6" s="34" t="str">
        <f>"White"</f>
        <v>White</v>
      </c>
      <c r="H6" s="35" t="str">
        <f>"CHAMPAGNE"</f>
        <v>CHAMPAGNE</v>
      </c>
      <c r="I6" s="35" t="str">
        <f>"SPARKLING BLEND"</f>
        <v>SPARKLING BLEND</v>
      </c>
      <c r="J6" s="13" t="s">
        <v>79</v>
      </c>
      <c r="K6" s="13" t="str">
        <f>VLOOKUP(B6,Sheet1!$A:$D,2,FALSE)</f>
        <v>No</v>
      </c>
      <c r="L6" s="13" t="str">
        <f>VLOOKUP(B6,Sheet1!$A:$D,3,FALSE)</f>
        <v>Yes</v>
      </c>
      <c r="M6" s="13" t="str">
        <f>VLOOKUP(B6,Sheet1!$A:$D,4,FALSE)</f>
        <v>No</v>
      </c>
      <c r="N6" s="9">
        <v>12</v>
      </c>
      <c r="O6" s="13" t="str">
        <f t="shared" ref="O6:O16" si="0">IF(LEN(Q6)=12,"UPC",IF(LEN(Q6)&gt;12,"EAN",""))</f>
        <v>UPC</v>
      </c>
      <c r="P6" s="13" t="str">
        <f t="shared" ref="P6:P16" si="1">IF(ISNUMBER(SEARCH("Gift",AG6)),"Gift Box","")</f>
        <v>Gift Box</v>
      </c>
      <c r="Q6" s="36" t="str">
        <f>"852165006003"</f>
        <v>852165006003</v>
      </c>
      <c r="R6" s="36" t="str">
        <f>"10852165006000"</f>
        <v>10852165006000</v>
      </c>
      <c r="S6" s="22">
        <v>0</v>
      </c>
      <c r="T6" s="22">
        <v>9.19</v>
      </c>
      <c r="U6" s="22">
        <v>2.0833300000000001</v>
      </c>
      <c r="V6" s="22">
        <v>13</v>
      </c>
      <c r="W6" s="22">
        <v>11</v>
      </c>
      <c r="X6" s="22">
        <v>11</v>
      </c>
      <c r="Y6" s="13">
        <v>25</v>
      </c>
      <c r="Z6" s="22">
        <f t="shared" ref="Z6:Z16" si="2">IF(V6&gt;0,(V6*W6*X6)/1728,"")</f>
        <v>0.91030092592592593</v>
      </c>
      <c r="AA6" s="13">
        <v>14</v>
      </c>
      <c r="AB6" s="13">
        <v>5</v>
      </c>
      <c r="AC6" s="13">
        <v>70</v>
      </c>
      <c r="AD6" s="13">
        <f t="shared" ref="AD6:AD16" si="3">IF(AB6&gt;0,AB6*X6,"")</f>
        <v>55</v>
      </c>
      <c r="AE6" s="13">
        <f t="shared" ref="AE6:AE16" si="4">IF(Y6&gt;0,Y6*(AA6*AB6),"")</f>
        <v>1750</v>
      </c>
      <c r="AG6" s="28" t="str">
        <f>"12x375ml Gift"</f>
        <v>12x375ml Gift</v>
      </c>
    </row>
    <row r="7" spans="1:33" x14ac:dyDescent="0.25">
      <c r="A7" s="10" t="e">
        <f>IF(#REF!=0,"Hide","Show")</f>
        <v>#REF!</v>
      </c>
      <c r="B7" s="32" t="str">
        <f>"Champagne Bollinger"</f>
        <v>Champagne Bollinger</v>
      </c>
      <c r="C7" s="33" t="str">
        <f>"Special Cuvee"</f>
        <v>Special Cuvee</v>
      </c>
      <c r="D7" s="34">
        <v>6</v>
      </c>
      <c r="E7" s="34">
        <v>750</v>
      </c>
      <c r="F7" s="34" t="str">
        <f>"NV"</f>
        <v>NV</v>
      </c>
      <c r="G7" s="34" t="str">
        <f>"White"</f>
        <v>White</v>
      </c>
      <c r="H7" s="35" t="str">
        <f>"CHAMPAGNE"</f>
        <v>CHAMPAGNE</v>
      </c>
      <c r="I7" s="35" t="str">
        <f>"SPARKLING BLEND"</f>
        <v>SPARKLING BLEND</v>
      </c>
      <c r="J7" s="13" t="s">
        <v>79</v>
      </c>
      <c r="K7" s="13" t="str">
        <f>VLOOKUP(B7,Sheet1!$A:$D,2,FALSE)</f>
        <v>No</v>
      </c>
      <c r="L7" s="13" t="str">
        <f>VLOOKUP(B7,Sheet1!$A:$D,3,FALSE)</f>
        <v>Yes</v>
      </c>
      <c r="M7" s="13" t="str">
        <f>VLOOKUP(B7,Sheet1!$A:$D,4,FALSE)</f>
        <v>No</v>
      </c>
      <c r="N7" s="9">
        <v>12</v>
      </c>
      <c r="O7" s="13" t="str">
        <f t="shared" si="0"/>
        <v>UPC</v>
      </c>
      <c r="P7" s="13" t="str">
        <f t="shared" si="1"/>
        <v/>
      </c>
      <c r="Q7" s="36" t="str">
        <f>"864576000150"</f>
        <v>864576000150</v>
      </c>
      <c r="R7" s="36" t="str">
        <f>"30864576000151"</f>
        <v>30864576000151</v>
      </c>
      <c r="S7" s="22">
        <v>3.5</v>
      </c>
      <c r="T7" s="22">
        <v>11.57</v>
      </c>
      <c r="U7" s="22">
        <v>3.8333299999999997</v>
      </c>
      <c r="V7" s="22">
        <v>13</v>
      </c>
      <c r="W7" s="22">
        <v>10</v>
      </c>
      <c r="X7" s="22">
        <v>8</v>
      </c>
      <c r="Y7" s="13">
        <v>23</v>
      </c>
      <c r="Z7" s="22">
        <f t="shared" si="2"/>
        <v>0.60185185185185186</v>
      </c>
      <c r="AA7" s="13">
        <v>14</v>
      </c>
      <c r="AB7" s="13">
        <v>6</v>
      </c>
      <c r="AC7" s="13">
        <v>84</v>
      </c>
      <c r="AD7" s="13">
        <f t="shared" si="3"/>
        <v>48</v>
      </c>
      <c r="AE7" s="13">
        <f t="shared" si="4"/>
        <v>1932</v>
      </c>
      <c r="AG7" s="28" t="str">
        <f>"6x750ml C"</f>
        <v>6x750ml C</v>
      </c>
    </row>
    <row r="8" spans="1:33" x14ac:dyDescent="0.25">
      <c r="A8" s="10" t="e">
        <f>IF(#REF!=0,"Hide","Show")</f>
        <v>#REF!</v>
      </c>
      <c r="B8" s="32" t="str">
        <f>"Champagne Bollinger"</f>
        <v>Champagne Bollinger</v>
      </c>
      <c r="C8" s="33" t="str">
        <f>"Special Cuvee"</f>
        <v>Special Cuvee</v>
      </c>
      <c r="D8" s="34">
        <v>6</v>
      </c>
      <c r="E8" s="34">
        <v>750</v>
      </c>
      <c r="F8" s="34" t="str">
        <f>"NV"</f>
        <v>NV</v>
      </c>
      <c r="G8" s="34" t="str">
        <f>"White"</f>
        <v>White</v>
      </c>
      <c r="H8" s="35" t="str">
        <f>"CHAMPAGNE"</f>
        <v>CHAMPAGNE</v>
      </c>
      <c r="I8" s="35" t="str">
        <f>"SPARKLING BLEND"</f>
        <v>SPARKLING BLEND</v>
      </c>
      <c r="J8" s="13" t="s">
        <v>79</v>
      </c>
      <c r="K8" s="13" t="str">
        <f>VLOOKUP(B8,Sheet1!$A:$D,2,FALSE)</f>
        <v>No</v>
      </c>
      <c r="L8" s="13" t="str">
        <f>VLOOKUP(B8,Sheet1!$A:$D,3,FALSE)</f>
        <v>Yes</v>
      </c>
      <c r="M8" s="13" t="str">
        <f>VLOOKUP(B8,Sheet1!$A:$D,4,FALSE)</f>
        <v>No</v>
      </c>
      <c r="N8" s="9">
        <v>12</v>
      </c>
      <c r="O8" s="13" t="str">
        <f t="shared" si="0"/>
        <v>UPC</v>
      </c>
      <c r="P8" s="13" t="str">
        <f t="shared" si="1"/>
        <v>Gift Box</v>
      </c>
      <c r="Q8" s="36" t="str">
        <f>"864576000150"</f>
        <v>864576000150</v>
      </c>
      <c r="R8" s="36" t="str">
        <f>"30864576000151"</f>
        <v>30864576000151</v>
      </c>
      <c r="S8" s="22">
        <v>3.5</v>
      </c>
      <c r="T8" s="22">
        <v>11.57</v>
      </c>
      <c r="U8" s="22">
        <v>4</v>
      </c>
      <c r="V8" s="22">
        <v>12</v>
      </c>
      <c r="W8" s="22">
        <v>8</v>
      </c>
      <c r="X8" s="22">
        <v>13</v>
      </c>
      <c r="Y8" s="13">
        <v>24</v>
      </c>
      <c r="Z8" s="22">
        <f t="shared" si="2"/>
        <v>0.72222222222222221</v>
      </c>
      <c r="AA8" s="13">
        <v>16</v>
      </c>
      <c r="AB8" s="13">
        <v>4</v>
      </c>
      <c r="AC8" s="13">
        <v>64</v>
      </c>
      <c r="AD8" s="13">
        <f t="shared" si="3"/>
        <v>52</v>
      </c>
      <c r="AE8" s="13">
        <f t="shared" si="4"/>
        <v>1536</v>
      </c>
      <c r="AG8" s="28" t="str">
        <f>"6x750ml Gift "</f>
        <v xml:space="preserve">6x750ml Gift </v>
      </c>
    </row>
    <row r="9" spans="1:33" x14ac:dyDescent="0.25">
      <c r="A9" s="10" t="e">
        <f>IF(#REF!=0,"Hide","Show")</f>
        <v>#REF!</v>
      </c>
      <c r="B9" s="32" t="str">
        <f>"Champagne Bollinger"</f>
        <v>Champagne Bollinger</v>
      </c>
      <c r="C9" s="33" t="str">
        <f>"Special Cuvee"</f>
        <v>Special Cuvee</v>
      </c>
      <c r="D9" s="34">
        <v>3</v>
      </c>
      <c r="E9" s="34">
        <v>1500</v>
      </c>
      <c r="F9" s="34" t="str">
        <f>"NV"</f>
        <v>NV</v>
      </c>
      <c r="G9" s="34" t="str">
        <f>"White"</f>
        <v>White</v>
      </c>
      <c r="H9" s="35" t="str">
        <f>"CHAMPAGNE"</f>
        <v>CHAMPAGNE</v>
      </c>
      <c r="I9" s="35" t="str">
        <f>"SPARKLING BLEND"</f>
        <v>SPARKLING BLEND</v>
      </c>
      <c r="J9" s="13" t="s">
        <v>79</v>
      </c>
      <c r="K9" s="13" t="str">
        <f>VLOOKUP(B9,Sheet1!$A:$D,2,FALSE)</f>
        <v>No</v>
      </c>
      <c r="L9" s="13" t="str">
        <f>VLOOKUP(B9,Sheet1!$A:$D,3,FALSE)</f>
        <v>Yes</v>
      </c>
      <c r="M9" s="13" t="str">
        <f>VLOOKUP(B9,Sheet1!$A:$D,4,FALSE)</f>
        <v>No</v>
      </c>
      <c r="N9" s="9">
        <v>12</v>
      </c>
      <c r="O9" s="13" t="str">
        <f t="shared" si="0"/>
        <v>UPC</v>
      </c>
      <c r="P9" s="13" t="str">
        <f t="shared" si="1"/>
        <v/>
      </c>
      <c r="Q9" s="36" t="str">
        <f>"852165006010"</f>
        <v>852165006010</v>
      </c>
      <c r="R9" s="36" t="str">
        <f>"20852165006014"</f>
        <v>20852165006014</v>
      </c>
      <c r="S9" s="22">
        <v>0</v>
      </c>
      <c r="T9" s="22">
        <v>0</v>
      </c>
      <c r="U9" s="22">
        <v>8</v>
      </c>
      <c r="V9" s="22">
        <v>16</v>
      </c>
      <c r="W9" s="22">
        <v>12</v>
      </c>
      <c r="X9" s="22">
        <v>6</v>
      </c>
      <c r="Y9" s="13">
        <v>24</v>
      </c>
      <c r="Z9" s="22">
        <f t="shared" si="2"/>
        <v>0.66666666666666663</v>
      </c>
      <c r="AA9" s="13">
        <v>10</v>
      </c>
      <c r="AB9" s="13">
        <v>9</v>
      </c>
      <c r="AC9" s="13">
        <v>90</v>
      </c>
      <c r="AD9" s="13">
        <f t="shared" si="3"/>
        <v>54</v>
      </c>
      <c r="AE9" s="13">
        <f t="shared" si="4"/>
        <v>2160</v>
      </c>
      <c r="AG9" s="28" t="str">
        <f>"3x1.5L C"</f>
        <v>3x1.5L C</v>
      </c>
    </row>
    <row r="10" spans="1:33" x14ac:dyDescent="0.25">
      <c r="A10" s="10" t="e">
        <f>IF(#REF!=0,"Hide","Show")</f>
        <v>#REF!</v>
      </c>
      <c r="B10" s="32" t="str">
        <f>"Champagne Bollinger"</f>
        <v>Champagne Bollinger</v>
      </c>
      <c r="C10" s="33" t="str">
        <f>"Special Cuvee"</f>
        <v>Special Cuvee</v>
      </c>
      <c r="D10" s="34">
        <v>3</v>
      </c>
      <c r="E10" s="34">
        <v>1500</v>
      </c>
      <c r="F10" s="34" t="str">
        <f>"NV"</f>
        <v>NV</v>
      </c>
      <c r="G10" s="34" t="str">
        <f>"White"</f>
        <v>White</v>
      </c>
      <c r="H10" s="35" t="str">
        <f>"CHAMPAGNE"</f>
        <v>CHAMPAGNE</v>
      </c>
      <c r="I10" s="35" t="str">
        <f>"SPARKLING BLEND"</f>
        <v>SPARKLING BLEND</v>
      </c>
      <c r="J10" s="13" t="s">
        <v>79</v>
      </c>
      <c r="K10" s="13" t="str">
        <f>VLOOKUP(B10,Sheet1!$A:$D,2,FALSE)</f>
        <v>No</v>
      </c>
      <c r="L10" s="13" t="str">
        <f>VLOOKUP(B10,Sheet1!$A:$D,3,FALSE)</f>
        <v>Yes</v>
      </c>
      <c r="M10" s="13" t="str">
        <f>VLOOKUP(B10,Sheet1!$A:$D,4,FALSE)</f>
        <v>No</v>
      </c>
      <c r="N10" s="9">
        <v>12</v>
      </c>
      <c r="O10" s="13" t="str">
        <f t="shared" si="0"/>
        <v>UPC</v>
      </c>
      <c r="P10" s="13" t="str">
        <f t="shared" si="1"/>
        <v>Gift Box</v>
      </c>
      <c r="Q10" s="36" t="str">
        <f>"852165006010"</f>
        <v>852165006010</v>
      </c>
      <c r="R10" s="36" t="str">
        <f>"20852165006014"</f>
        <v>20852165006014</v>
      </c>
      <c r="S10" s="22">
        <v>0</v>
      </c>
      <c r="T10" s="22">
        <v>14.39</v>
      </c>
      <c r="U10" s="22">
        <v>7.64</v>
      </c>
      <c r="V10" s="22">
        <v>0</v>
      </c>
      <c r="W10" s="22">
        <v>0</v>
      </c>
      <c r="X10" s="22">
        <v>0</v>
      </c>
      <c r="Y10" s="13">
        <v>23</v>
      </c>
      <c r="Z10" s="22" t="str">
        <f t="shared" si="2"/>
        <v/>
      </c>
      <c r="AA10" s="13">
        <v>10</v>
      </c>
      <c r="AB10" s="13">
        <v>6</v>
      </c>
      <c r="AC10" s="13">
        <v>60</v>
      </c>
      <c r="AD10" s="13">
        <f t="shared" si="3"/>
        <v>0</v>
      </c>
      <c r="AE10" s="13">
        <f t="shared" si="4"/>
        <v>1380</v>
      </c>
      <c r="AG10" s="28" t="str">
        <f>"3x1.5L Gift"</f>
        <v>3x1.5L Gift</v>
      </c>
    </row>
    <row r="11" spans="1:33" x14ac:dyDescent="0.25">
      <c r="A11" s="10" t="e">
        <f>IF(#REF!=0,"Hide","Show")</f>
        <v>#REF!</v>
      </c>
      <c r="B11" s="32" t="str">
        <f>"Champagne Bollinger"</f>
        <v>Champagne Bollinger</v>
      </c>
      <c r="C11" s="33" t="str">
        <f>"Special Cuvee"</f>
        <v>Special Cuvee</v>
      </c>
      <c r="D11" s="34">
        <v>1</v>
      </c>
      <c r="E11" s="34">
        <v>3000</v>
      </c>
      <c r="F11" s="34" t="str">
        <f>"NV"</f>
        <v>NV</v>
      </c>
      <c r="G11" s="34" t="str">
        <f>"White"</f>
        <v>White</v>
      </c>
      <c r="H11" s="35" t="str">
        <f>"CHAMPAGNE"</f>
        <v>CHAMPAGNE</v>
      </c>
      <c r="I11" s="35" t="str">
        <f>"SPARKLING BLEND"</f>
        <v>SPARKLING BLEND</v>
      </c>
      <c r="J11" s="13" t="s">
        <v>79</v>
      </c>
      <c r="K11" s="13" t="str">
        <f>VLOOKUP(B11,Sheet1!$A:$D,2,FALSE)</f>
        <v>No</v>
      </c>
      <c r="L11" s="13" t="str">
        <f>VLOOKUP(B11,Sheet1!$A:$D,3,FALSE)</f>
        <v>Yes</v>
      </c>
      <c r="M11" s="13" t="str">
        <f>VLOOKUP(B11,Sheet1!$A:$D,4,FALSE)</f>
        <v>No</v>
      </c>
      <c r="N11" s="9">
        <v>12</v>
      </c>
      <c r="O11" s="13" t="str">
        <f t="shared" si="0"/>
        <v>UPC</v>
      </c>
      <c r="P11" s="13" t="str">
        <f t="shared" si="1"/>
        <v/>
      </c>
      <c r="Q11" s="36" t="str">
        <f>"852165006027"</f>
        <v>852165006027</v>
      </c>
      <c r="R11" s="36" t="str">
        <f>"40852165006025"</f>
        <v>40852165006025</v>
      </c>
      <c r="S11" s="22">
        <v>0</v>
      </c>
      <c r="T11" s="22">
        <v>18.670000000000002</v>
      </c>
      <c r="U11" s="22">
        <v>21</v>
      </c>
      <c r="V11" s="22">
        <v>22</v>
      </c>
      <c r="W11" s="22">
        <v>7.5</v>
      </c>
      <c r="X11" s="22">
        <v>7.5</v>
      </c>
      <c r="Y11" s="13">
        <v>21</v>
      </c>
      <c r="Z11" s="22">
        <f t="shared" si="2"/>
        <v>0.71614583333333337</v>
      </c>
      <c r="AA11" s="13">
        <v>10</v>
      </c>
      <c r="AB11" s="13">
        <v>6</v>
      </c>
      <c r="AC11" s="13">
        <v>60</v>
      </c>
      <c r="AD11" s="13">
        <f t="shared" si="3"/>
        <v>45</v>
      </c>
      <c r="AE11" s="13">
        <f t="shared" si="4"/>
        <v>1260</v>
      </c>
      <c r="AG11" s="28" t="str">
        <f>"1x3L C"</f>
        <v>1x3L C</v>
      </c>
    </row>
    <row r="12" spans="1:33" x14ac:dyDescent="0.25">
      <c r="A12" s="10" t="e">
        <f>IF(#REF!=0,"Hide","Show")</f>
        <v>#REF!</v>
      </c>
      <c r="B12" s="32" t="str">
        <f>"Champagne Bollinger"</f>
        <v>Champagne Bollinger</v>
      </c>
      <c r="C12" s="33" t="str">
        <f>"Special Cuvee"</f>
        <v>Special Cuvee</v>
      </c>
      <c r="D12" s="34">
        <v>1</v>
      </c>
      <c r="E12" s="34">
        <v>3000</v>
      </c>
      <c r="F12" s="34" t="str">
        <f>"NV"</f>
        <v>NV</v>
      </c>
      <c r="G12" s="34" t="str">
        <f>"White"</f>
        <v>White</v>
      </c>
      <c r="H12" s="35" t="str">
        <f>"CHAMPAGNE"</f>
        <v>CHAMPAGNE</v>
      </c>
      <c r="I12" s="35" t="str">
        <f>"SPARKLING BLEND"</f>
        <v>SPARKLING BLEND</v>
      </c>
      <c r="J12" s="13" t="s">
        <v>79</v>
      </c>
      <c r="K12" s="13" t="str">
        <f>VLOOKUP(B12,Sheet1!$A:$D,2,FALSE)</f>
        <v>No</v>
      </c>
      <c r="L12" s="13" t="str">
        <f>VLOOKUP(B12,Sheet1!$A:$D,3,FALSE)</f>
        <v>Yes</v>
      </c>
      <c r="M12" s="13" t="str">
        <f>VLOOKUP(B12,Sheet1!$A:$D,4,FALSE)</f>
        <v>No</v>
      </c>
      <c r="N12" s="9">
        <v>12</v>
      </c>
      <c r="O12" s="13" t="str">
        <f t="shared" si="0"/>
        <v>UPC</v>
      </c>
      <c r="P12" s="13" t="str">
        <f t="shared" si="1"/>
        <v/>
      </c>
      <c r="Q12" s="36" t="str">
        <f>"852165006027"</f>
        <v>852165006027</v>
      </c>
      <c r="R12" s="36" t="str">
        <f>"40852165006025"</f>
        <v>40852165006025</v>
      </c>
      <c r="S12" s="22">
        <v>0</v>
      </c>
      <c r="T12" s="22">
        <v>18.670000000000002</v>
      </c>
      <c r="U12" s="22">
        <v>15</v>
      </c>
      <c r="V12" s="22">
        <v>23</v>
      </c>
      <c r="W12" s="22">
        <v>8</v>
      </c>
      <c r="X12" s="22">
        <v>8</v>
      </c>
      <c r="Y12" s="13">
        <v>15</v>
      </c>
      <c r="Z12" s="22">
        <f t="shared" si="2"/>
        <v>0.85185185185185186</v>
      </c>
      <c r="AA12" s="13">
        <v>9</v>
      </c>
      <c r="AB12" s="13">
        <v>7</v>
      </c>
      <c r="AC12" s="13">
        <v>63</v>
      </c>
      <c r="AD12" s="13">
        <f t="shared" si="3"/>
        <v>56</v>
      </c>
      <c r="AE12" s="13">
        <f t="shared" si="4"/>
        <v>945</v>
      </c>
      <c r="AG12" s="28" t="str">
        <f>"1x3L W"</f>
        <v>1x3L W</v>
      </c>
    </row>
    <row r="13" spans="1:33" x14ac:dyDescent="0.25">
      <c r="A13" s="10" t="e">
        <f>IF(#REF!=0,"Hide","Show")</f>
        <v>#REF!</v>
      </c>
      <c r="B13" s="32" t="str">
        <f>"Champagne Bollinger"</f>
        <v>Champagne Bollinger</v>
      </c>
      <c r="C13" s="33" t="str">
        <f>"Special Cuvee"</f>
        <v>Special Cuvee</v>
      </c>
      <c r="D13" s="34">
        <v>1</v>
      </c>
      <c r="E13" s="34">
        <v>6000</v>
      </c>
      <c r="F13" s="34" t="str">
        <f>"NV"</f>
        <v>NV</v>
      </c>
      <c r="G13" s="34" t="str">
        <f>"White"</f>
        <v>White</v>
      </c>
      <c r="H13" s="35" t="str">
        <f>"CHAMPAGNE"</f>
        <v>CHAMPAGNE</v>
      </c>
      <c r="I13" s="35" t="str">
        <f>"SPARKLING BLEND"</f>
        <v>SPARKLING BLEND</v>
      </c>
      <c r="J13" s="13" t="s">
        <v>79</v>
      </c>
      <c r="K13" s="13" t="str">
        <f>VLOOKUP(B13,Sheet1!$A:$D,2,FALSE)</f>
        <v>No</v>
      </c>
      <c r="L13" s="13" t="str">
        <f>VLOOKUP(B13,Sheet1!$A:$D,3,FALSE)</f>
        <v>Yes</v>
      </c>
      <c r="M13" s="13" t="str">
        <f>VLOOKUP(B13,Sheet1!$A:$D,4,FALSE)</f>
        <v>No</v>
      </c>
      <c r="N13" s="9">
        <v>12</v>
      </c>
      <c r="O13" s="13" t="str">
        <f t="shared" si="0"/>
        <v>EAN</v>
      </c>
      <c r="P13" s="13" t="str">
        <f t="shared" si="1"/>
        <v/>
      </c>
      <c r="Q13" s="36" t="str">
        <f>"3052853077057"</f>
        <v>3052853077057</v>
      </c>
      <c r="R13" s="36" t="str">
        <f>"3052853077057"</f>
        <v>3052853077057</v>
      </c>
      <c r="S13" s="22">
        <v>0</v>
      </c>
      <c r="T13" s="22">
        <v>22.7</v>
      </c>
      <c r="U13" s="22">
        <v>33</v>
      </c>
      <c r="V13" s="22">
        <v>26</v>
      </c>
      <c r="W13" s="22">
        <v>9</v>
      </c>
      <c r="X13" s="22">
        <v>8</v>
      </c>
      <c r="Y13" s="13">
        <v>33</v>
      </c>
      <c r="Z13" s="22">
        <f t="shared" si="2"/>
        <v>1.0833333333333333</v>
      </c>
      <c r="AA13" s="13">
        <v>4</v>
      </c>
      <c r="AB13" s="13">
        <v>3</v>
      </c>
      <c r="AC13" s="13">
        <v>12</v>
      </c>
      <c r="AD13" s="13">
        <f t="shared" si="3"/>
        <v>24</v>
      </c>
      <c r="AE13" s="13">
        <f t="shared" si="4"/>
        <v>396</v>
      </c>
      <c r="AG13" s="28" t="str">
        <f>"1x6L W"</f>
        <v>1x6L W</v>
      </c>
    </row>
    <row r="14" spans="1:33" x14ac:dyDescent="0.25">
      <c r="A14" s="10" t="e">
        <f>IF(#REF!=0,"Hide","Show")</f>
        <v>#REF!</v>
      </c>
      <c r="B14" s="32" t="str">
        <f>"Champagne Bollinger"</f>
        <v>Champagne Bollinger</v>
      </c>
      <c r="C14" s="33" t="str">
        <f>"Special Cuvee"</f>
        <v>Special Cuvee</v>
      </c>
      <c r="D14" s="34">
        <v>1</v>
      </c>
      <c r="E14" s="34">
        <v>9000</v>
      </c>
      <c r="F14" s="34" t="str">
        <f>"NV"</f>
        <v>NV</v>
      </c>
      <c r="G14" s="34" t="str">
        <f>"White"</f>
        <v>White</v>
      </c>
      <c r="H14" s="35" t="str">
        <f>"CHAMPAGNE"</f>
        <v>CHAMPAGNE</v>
      </c>
      <c r="I14" s="35" t="str">
        <f>"SPARKLING BLEND"</f>
        <v>SPARKLING BLEND</v>
      </c>
      <c r="J14" s="13" t="s">
        <v>79</v>
      </c>
      <c r="K14" s="13" t="str">
        <f>VLOOKUP(B14,Sheet1!$A:$D,2,FALSE)</f>
        <v>No</v>
      </c>
      <c r="L14" s="13" t="str">
        <f>VLOOKUP(B14,Sheet1!$A:$D,3,FALSE)</f>
        <v>Yes</v>
      </c>
      <c r="M14" s="13" t="str">
        <f>VLOOKUP(B14,Sheet1!$A:$D,4,FALSE)</f>
        <v>No</v>
      </c>
      <c r="N14" s="9">
        <v>12</v>
      </c>
      <c r="O14" s="13" t="str">
        <f t="shared" si="0"/>
        <v>EAN</v>
      </c>
      <c r="P14" s="13" t="str">
        <f t="shared" si="1"/>
        <v/>
      </c>
      <c r="Q14" s="36" t="str">
        <f>"3052853077064"</f>
        <v>3052853077064</v>
      </c>
      <c r="R14" s="36" t="str">
        <f>"3052853077064"</f>
        <v>3052853077064</v>
      </c>
      <c r="S14" s="22">
        <v>0</v>
      </c>
      <c r="T14" s="22">
        <v>25</v>
      </c>
      <c r="U14" s="22">
        <v>36</v>
      </c>
      <c r="V14" s="22">
        <v>29</v>
      </c>
      <c r="W14" s="22">
        <v>10</v>
      </c>
      <c r="X14" s="22">
        <v>9</v>
      </c>
      <c r="Y14" s="13">
        <v>36</v>
      </c>
      <c r="Z14" s="22">
        <f t="shared" si="2"/>
        <v>1.5104166666666667</v>
      </c>
      <c r="AA14" s="13">
        <v>4</v>
      </c>
      <c r="AB14" s="13">
        <v>3</v>
      </c>
      <c r="AC14" s="13">
        <v>12</v>
      </c>
      <c r="AD14" s="13">
        <f t="shared" si="3"/>
        <v>27</v>
      </c>
      <c r="AE14" s="13">
        <f t="shared" si="4"/>
        <v>432</v>
      </c>
      <c r="AG14" s="28" t="str">
        <f>"1x9L W"</f>
        <v>1x9L W</v>
      </c>
    </row>
    <row r="15" spans="1:33" x14ac:dyDescent="0.25">
      <c r="A15" s="10" t="e">
        <f>IF(#REF!=0,"Hide","Show")</f>
        <v>#REF!</v>
      </c>
      <c r="B15" s="32" t="str">
        <f>"Champagne Bollinger"</f>
        <v>Champagne Bollinger</v>
      </c>
      <c r="C15" s="33" t="str">
        <f>"Special Cuvee"</f>
        <v>Special Cuvee</v>
      </c>
      <c r="D15" s="34">
        <v>1</v>
      </c>
      <c r="E15" s="34">
        <v>12000</v>
      </c>
      <c r="F15" s="34" t="str">
        <f>"NV"</f>
        <v>NV</v>
      </c>
      <c r="G15" s="34" t="str">
        <f>"White"</f>
        <v>White</v>
      </c>
      <c r="H15" s="35" t="str">
        <f>"CHAMPAGNE"</f>
        <v>CHAMPAGNE</v>
      </c>
      <c r="I15" s="35" t="str">
        <f>"SPARKLING BLEND"</f>
        <v>SPARKLING BLEND</v>
      </c>
      <c r="J15" s="13" t="s">
        <v>79</v>
      </c>
      <c r="K15" s="13" t="str">
        <f>VLOOKUP(B15,Sheet1!$A:$D,2,FALSE)</f>
        <v>No</v>
      </c>
      <c r="L15" s="13" t="str">
        <f>VLOOKUP(B15,Sheet1!$A:$D,3,FALSE)</f>
        <v>Yes</v>
      </c>
      <c r="M15" s="13" t="str">
        <f>VLOOKUP(B15,Sheet1!$A:$D,4,FALSE)</f>
        <v>No</v>
      </c>
      <c r="N15" s="9">
        <v>12</v>
      </c>
      <c r="O15" s="13" t="str">
        <f t="shared" si="0"/>
        <v>EAN</v>
      </c>
      <c r="P15" s="13" t="str">
        <f t="shared" si="1"/>
        <v/>
      </c>
      <c r="Q15" s="36" t="str">
        <f>"3052853077071"</f>
        <v>3052853077071</v>
      </c>
      <c r="R15" s="36" t="str">
        <f>"3052853077071"</f>
        <v>3052853077071</v>
      </c>
      <c r="S15" s="22">
        <v>0</v>
      </c>
      <c r="T15" s="22">
        <v>27</v>
      </c>
      <c r="U15" s="22">
        <v>57</v>
      </c>
      <c r="V15" s="22">
        <v>31</v>
      </c>
      <c r="W15" s="22">
        <v>11</v>
      </c>
      <c r="X15" s="22">
        <v>10</v>
      </c>
      <c r="Y15" s="13">
        <v>57</v>
      </c>
      <c r="Z15" s="22">
        <f t="shared" si="2"/>
        <v>1.9733796296296295</v>
      </c>
      <c r="AA15" s="13">
        <v>3</v>
      </c>
      <c r="AB15" s="13">
        <v>3</v>
      </c>
      <c r="AC15" s="13">
        <v>9</v>
      </c>
      <c r="AD15" s="13">
        <f t="shared" si="3"/>
        <v>30</v>
      </c>
      <c r="AE15" s="13">
        <f t="shared" si="4"/>
        <v>513</v>
      </c>
      <c r="AG15" s="28" t="str">
        <f>"1x12L W"</f>
        <v>1x12L W</v>
      </c>
    </row>
    <row r="16" spans="1:33" x14ac:dyDescent="0.25">
      <c r="A16" s="10" t="e">
        <f>IF(#REF!=0,"Hide","Show")</f>
        <v>#REF!</v>
      </c>
      <c r="B16" s="32" t="str">
        <f>"Champagne Bollinger"</f>
        <v>Champagne Bollinger</v>
      </c>
      <c r="C16" s="33" t="str">
        <f>"Special Cuvee"</f>
        <v>Special Cuvee</v>
      </c>
      <c r="D16" s="34">
        <v>1</v>
      </c>
      <c r="E16" s="34">
        <v>15000</v>
      </c>
      <c r="F16" s="34" t="str">
        <f>"NV"</f>
        <v>NV</v>
      </c>
      <c r="G16" s="34" t="str">
        <f>"White"</f>
        <v>White</v>
      </c>
      <c r="H16" s="35" t="str">
        <f>"CHAMPAGNE"</f>
        <v>CHAMPAGNE</v>
      </c>
      <c r="I16" s="35" t="str">
        <f>"SPARKLING BLEND"</f>
        <v>SPARKLING BLEND</v>
      </c>
      <c r="J16" s="13" t="s">
        <v>79</v>
      </c>
      <c r="K16" s="13" t="str">
        <f>VLOOKUP(B16,Sheet1!$A:$D,2,FALSE)</f>
        <v>No</v>
      </c>
      <c r="L16" s="13" t="str">
        <f>VLOOKUP(B16,Sheet1!$A:$D,3,FALSE)</f>
        <v>Yes</v>
      </c>
      <c r="M16" s="13" t="str">
        <f>VLOOKUP(B16,Sheet1!$A:$D,4,FALSE)</f>
        <v>No</v>
      </c>
      <c r="N16" s="9">
        <v>12</v>
      </c>
      <c r="O16" s="13" t="str">
        <f t="shared" si="0"/>
        <v>EAN</v>
      </c>
      <c r="P16" s="13" t="str">
        <f t="shared" si="1"/>
        <v/>
      </c>
      <c r="Q16" s="36" t="str">
        <f>"3052853077088"</f>
        <v>3052853077088</v>
      </c>
      <c r="R16" s="36" t="str">
        <f>"3052853077088"</f>
        <v>3052853077088</v>
      </c>
      <c r="S16" s="22">
        <v>0</v>
      </c>
      <c r="T16" s="22">
        <v>30</v>
      </c>
      <c r="U16" s="22">
        <v>70</v>
      </c>
      <c r="V16" s="22">
        <v>33</v>
      </c>
      <c r="W16" s="22">
        <v>11</v>
      </c>
      <c r="X16" s="22">
        <v>10</v>
      </c>
      <c r="Y16" s="13">
        <v>70</v>
      </c>
      <c r="Z16" s="22">
        <f t="shared" si="2"/>
        <v>2.1006944444444446</v>
      </c>
      <c r="AA16" s="13">
        <v>3</v>
      </c>
      <c r="AB16" s="13">
        <v>3</v>
      </c>
      <c r="AC16" s="13">
        <v>9</v>
      </c>
      <c r="AD16" s="13">
        <f t="shared" si="3"/>
        <v>30</v>
      </c>
      <c r="AE16" s="13">
        <f t="shared" si="4"/>
        <v>630</v>
      </c>
      <c r="AG16" s="28" t="str">
        <f>"1x15L W"</f>
        <v>1x15L W</v>
      </c>
    </row>
    <row r="17" spans="1:33" x14ac:dyDescent="0.25">
      <c r="A17" s="10" t="e">
        <f>IF(#REF!=0,"Hide","Show")</f>
        <v>#REF!</v>
      </c>
      <c r="B17" s="32" t="str">
        <f>"Champagne Bollinger"</f>
        <v>Champagne Bollinger</v>
      </c>
      <c r="C17" s="33" t="str">
        <f>"Rose"</f>
        <v>Rose</v>
      </c>
      <c r="D17" s="34">
        <v>12</v>
      </c>
      <c r="E17" s="34">
        <v>375</v>
      </c>
      <c r="F17" s="34" t="str">
        <f>"NV"</f>
        <v>NV</v>
      </c>
      <c r="G17" s="34" t="str">
        <f>"Rose"</f>
        <v>Rose</v>
      </c>
      <c r="H17" s="35" t="str">
        <f>"CHAMPAGNE"</f>
        <v>CHAMPAGNE</v>
      </c>
      <c r="I17" s="35" t="str">
        <f>"SPARKLING BLEND"</f>
        <v>SPARKLING BLEND</v>
      </c>
      <c r="J17" s="13" t="s">
        <v>79</v>
      </c>
      <c r="K17" s="13" t="str">
        <f>VLOOKUP(B17,Sheet1!$A:$D,2,FALSE)</f>
        <v>No</v>
      </c>
      <c r="L17" s="13" t="str">
        <f>VLOOKUP(B17,Sheet1!$A:$D,3,FALSE)</f>
        <v>Yes</v>
      </c>
      <c r="M17" s="13" t="str">
        <f>VLOOKUP(B17,Sheet1!$A:$D,4,FALSE)</f>
        <v>No</v>
      </c>
      <c r="N17" s="9">
        <v>12</v>
      </c>
      <c r="O17" s="13" t="str">
        <f t="shared" ref="O17:O35" si="5">IF(LEN(Q17)=12,"UPC",IF(LEN(Q17)&gt;12,"EAN",""))</f>
        <v>UPC</v>
      </c>
      <c r="P17" s="13" t="str">
        <f t="shared" ref="P17:P35" si="6">IF(ISNUMBER(SEARCH("Gift",AG17)),"Gift Box","")</f>
        <v/>
      </c>
      <c r="Q17" s="36" t="str">
        <f>"852165006034"</f>
        <v>852165006034</v>
      </c>
      <c r="R17" s="36" t="str">
        <f>"10852165006031"</f>
        <v>10852165006031</v>
      </c>
      <c r="S17" s="22">
        <v>0</v>
      </c>
      <c r="T17" s="22">
        <v>0</v>
      </c>
      <c r="U17" s="22">
        <v>2</v>
      </c>
      <c r="V17" s="22">
        <v>13</v>
      </c>
      <c r="W17" s="22">
        <v>10</v>
      </c>
      <c r="X17" s="22">
        <v>11</v>
      </c>
      <c r="Y17" s="13">
        <v>24</v>
      </c>
      <c r="Z17" s="22">
        <f t="shared" ref="Z17:Z35" si="7">IF(V17&gt;0,(V17*W17*X17)/1728,"")</f>
        <v>0.82754629629629628</v>
      </c>
      <c r="AA17" s="13">
        <v>14</v>
      </c>
      <c r="AB17" s="13">
        <v>5</v>
      </c>
      <c r="AC17" s="13">
        <v>70</v>
      </c>
      <c r="AD17" s="13">
        <f t="shared" ref="AD17:AD35" si="8">IF(AB17&gt;0,AB17*X17,"")</f>
        <v>55</v>
      </c>
      <c r="AE17" s="13">
        <f t="shared" ref="AE17:AE35" si="9">IF(Y17&gt;0,Y17*(AA17*AB17),"")</f>
        <v>1680</v>
      </c>
      <c r="AG17" s="28" t="str">
        <f>"12x375ml C"</f>
        <v>12x375ml C</v>
      </c>
    </row>
    <row r="18" spans="1:33" x14ac:dyDescent="0.25">
      <c r="A18" s="10" t="e">
        <f>IF(#REF!=0,"Hide","Show")</f>
        <v>#REF!</v>
      </c>
      <c r="B18" s="32" t="str">
        <f>"Champagne Bollinger"</f>
        <v>Champagne Bollinger</v>
      </c>
      <c r="C18" s="33" t="str">
        <f>"Rose"</f>
        <v>Rose</v>
      </c>
      <c r="D18" s="34">
        <v>12</v>
      </c>
      <c r="E18" s="34">
        <v>375</v>
      </c>
      <c r="F18" s="34" t="str">
        <f>"NV"</f>
        <v>NV</v>
      </c>
      <c r="G18" s="34" t="str">
        <f>"Rose"</f>
        <v>Rose</v>
      </c>
      <c r="H18" s="35" t="str">
        <f>"CHAMPAGNE"</f>
        <v>CHAMPAGNE</v>
      </c>
      <c r="I18" s="35" t="str">
        <f>"SPARKLING BLEND"</f>
        <v>SPARKLING BLEND</v>
      </c>
      <c r="J18" s="13" t="s">
        <v>79</v>
      </c>
      <c r="K18" s="13" t="str">
        <f>VLOOKUP(B18,Sheet1!$A:$D,2,FALSE)</f>
        <v>No</v>
      </c>
      <c r="L18" s="13" t="str">
        <f>VLOOKUP(B18,Sheet1!$A:$D,3,FALSE)</f>
        <v>Yes</v>
      </c>
      <c r="M18" s="13" t="str">
        <f>VLOOKUP(B18,Sheet1!$A:$D,4,FALSE)</f>
        <v>No</v>
      </c>
      <c r="N18" s="9">
        <v>12</v>
      </c>
      <c r="O18" s="13" t="str">
        <f t="shared" ref="O18:O23" si="10">IF(LEN(Q18)=12,"UPC",IF(LEN(Q18)&gt;12,"EAN",""))</f>
        <v>UPC</v>
      </c>
      <c r="P18" s="13" t="str">
        <f t="shared" ref="P18:P23" si="11">IF(ISNUMBER(SEARCH("Gift",AG18)),"Gift Box","")</f>
        <v>Gift Box</v>
      </c>
      <c r="Q18" s="36" t="str">
        <f>"852165006034"</f>
        <v>852165006034</v>
      </c>
      <c r="R18" s="36" t="str">
        <f>"10852165006031"</f>
        <v>10852165006031</v>
      </c>
      <c r="S18" s="22">
        <v>0</v>
      </c>
      <c r="T18" s="22">
        <v>9.19</v>
      </c>
      <c r="U18" s="22">
        <v>2</v>
      </c>
      <c r="V18" s="22">
        <v>13</v>
      </c>
      <c r="W18" s="22">
        <v>10.6</v>
      </c>
      <c r="X18" s="22">
        <v>10</v>
      </c>
      <c r="Y18" s="13">
        <v>24</v>
      </c>
      <c r="Z18" s="22">
        <f t="shared" ref="Z18:Z23" si="12">IF(V18&gt;0,(V18*W18*X18)/1728,"")</f>
        <v>0.79745370370370361</v>
      </c>
      <c r="AA18" s="13">
        <v>14</v>
      </c>
      <c r="AB18" s="13">
        <v>5</v>
      </c>
      <c r="AC18" s="13">
        <v>70</v>
      </c>
      <c r="AD18" s="13">
        <f t="shared" ref="AD18:AD23" si="13">IF(AB18&gt;0,AB18*X18,"")</f>
        <v>50</v>
      </c>
      <c r="AE18" s="13">
        <f t="shared" ref="AE18:AE23" si="14">IF(Y18&gt;0,Y18*(AA18*AB18),"")</f>
        <v>1680</v>
      </c>
      <c r="AG18" s="28" t="str">
        <f>"12x375ml Gift"</f>
        <v>12x375ml Gift</v>
      </c>
    </row>
    <row r="19" spans="1:33" x14ac:dyDescent="0.25">
      <c r="A19" s="10" t="e">
        <f>IF(#REF!=0,"Hide","Show")</f>
        <v>#REF!</v>
      </c>
      <c r="B19" s="32" t="str">
        <f>"Champagne Bollinger"</f>
        <v>Champagne Bollinger</v>
      </c>
      <c r="C19" s="33" t="str">
        <f>"Rose"</f>
        <v>Rose</v>
      </c>
      <c r="D19" s="34">
        <v>6</v>
      </c>
      <c r="E19" s="34">
        <v>750</v>
      </c>
      <c r="F19" s="34" t="str">
        <f>"NV"</f>
        <v>NV</v>
      </c>
      <c r="G19" s="34" t="str">
        <f>"Rose"</f>
        <v>Rose</v>
      </c>
      <c r="H19" s="35" t="str">
        <f>"CHAMPAGNE"</f>
        <v>CHAMPAGNE</v>
      </c>
      <c r="I19" s="35" t="str">
        <f>"SPARKLING BLEND"</f>
        <v>SPARKLING BLEND</v>
      </c>
      <c r="J19" s="13" t="s">
        <v>79</v>
      </c>
      <c r="K19" s="13" t="str">
        <f>VLOOKUP(B19,Sheet1!$A:$D,2,FALSE)</f>
        <v>No</v>
      </c>
      <c r="L19" s="13" t="str">
        <f>VLOOKUP(B19,Sheet1!$A:$D,3,FALSE)</f>
        <v>Yes</v>
      </c>
      <c r="M19" s="13" t="str">
        <f>VLOOKUP(B19,Sheet1!$A:$D,4,FALSE)</f>
        <v>No</v>
      </c>
      <c r="N19" s="9">
        <v>12</v>
      </c>
      <c r="O19" s="13" t="str">
        <f t="shared" si="10"/>
        <v>UPC</v>
      </c>
      <c r="P19" s="13" t="str">
        <f t="shared" si="11"/>
        <v/>
      </c>
      <c r="Q19" s="36" t="str">
        <f>"864576000167"</f>
        <v>864576000167</v>
      </c>
      <c r="R19" s="36" t="str">
        <f>"30864576000168"</f>
        <v>30864576000168</v>
      </c>
      <c r="S19" s="22">
        <v>3.5</v>
      </c>
      <c r="T19" s="22">
        <v>11.57</v>
      </c>
      <c r="U19" s="22">
        <v>3.8333299999999997</v>
      </c>
      <c r="V19" s="22">
        <v>13</v>
      </c>
      <c r="W19" s="22">
        <v>10</v>
      </c>
      <c r="X19" s="22">
        <v>8</v>
      </c>
      <c r="Y19" s="13">
        <v>23</v>
      </c>
      <c r="Z19" s="22">
        <f t="shared" si="12"/>
        <v>0.60185185185185186</v>
      </c>
      <c r="AA19" s="13">
        <v>14</v>
      </c>
      <c r="AB19" s="13">
        <v>6</v>
      </c>
      <c r="AC19" s="13">
        <v>84</v>
      </c>
      <c r="AD19" s="13">
        <f t="shared" si="13"/>
        <v>48</v>
      </c>
      <c r="AE19" s="13">
        <f t="shared" si="14"/>
        <v>1932</v>
      </c>
      <c r="AG19" s="28" t="str">
        <f>"6x750ml C"</f>
        <v>6x750ml C</v>
      </c>
    </row>
    <row r="20" spans="1:33" x14ac:dyDescent="0.25">
      <c r="A20" s="10" t="e">
        <f>IF(#REF!=0,"Hide","Show")</f>
        <v>#REF!</v>
      </c>
      <c r="B20" s="32" t="str">
        <f>"Champagne Bollinger"</f>
        <v>Champagne Bollinger</v>
      </c>
      <c r="C20" s="33" t="str">
        <f>"Rose"</f>
        <v>Rose</v>
      </c>
      <c r="D20" s="34">
        <v>6</v>
      </c>
      <c r="E20" s="34">
        <v>750</v>
      </c>
      <c r="F20" s="34" t="str">
        <f>"NV"</f>
        <v>NV</v>
      </c>
      <c r="G20" s="34" t="str">
        <f>"Rose"</f>
        <v>Rose</v>
      </c>
      <c r="H20" s="35" t="str">
        <f>"CHAMPAGNE"</f>
        <v>CHAMPAGNE</v>
      </c>
      <c r="I20" s="35" t="str">
        <f>"SPARKLING BLEND"</f>
        <v>SPARKLING BLEND</v>
      </c>
      <c r="J20" s="13" t="s">
        <v>79</v>
      </c>
      <c r="K20" s="13" t="str">
        <f>VLOOKUP(B20,Sheet1!$A:$D,2,FALSE)</f>
        <v>No</v>
      </c>
      <c r="L20" s="13" t="str">
        <f>VLOOKUP(B20,Sheet1!$A:$D,3,FALSE)</f>
        <v>Yes</v>
      </c>
      <c r="M20" s="13" t="str">
        <f>VLOOKUP(B20,Sheet1!$A:$D,4,FALSE)</f>
        <v>No</v>
      </c>
      <c r="N20" s="9">
        <v>12</v>
      </c>
      <c r="O20" s="13" t="str">
        <f t="shared" si="10"/>
        <v>UPC</v>
      </c>
      <c r="P20" s="13" t="str">
        <f t="shared" si="11"/>
        <v>Gift Box</v>
      </c>
      <c r="Q20" s="36" t="str">
        <f>"864576000167"</f>
        <v>864576000167</v>
      </c>
      <c r="R20" s="36" t="str">
        <f>"30864576000168"</f>
        <v>30864576000168</v>
      </c>
      <c r="S20" s="22">
        <v>3.5</v>
      </c>
      <c r="T20" s="22">
        <v>11.57</v>
      </c>
      <c r="U20" s="22">
        <v>3.83</v>
      </c>
      <c r="V20" s="22">
        <v>13</v>
      </c>
      <c r="W20" s="22">
        <v>9.8000000000000007</v>
      </c>
      <c r="X20" s="22">
        <v>7.8</v>
      </c>
      <c r="Y20" s="13">
        <v>23</v>
      </c>
      <c r="Z20" s="22">
        <f t="shared" si="12"/>
        <v>0.57506944444444441</v>
      </c>
      <c r="AA20" s="13">
        <v>16</v>
      </c>
      <c r="AB20" s="13">
        <v>4</v>
      </c>
      <c r="AC20" s="13">
        <v>64</v>
      </c>
      <c r="AD20" s="13">
        <f t="shared" si="13"/>
        <v>31.2</v>
      </c>
      <c r="AE20" s="13">
        <f t="shared" si="14"/>
        <v>1472</v>
      </c>
      <c r="AG20" s="28" t="str">
        <f>"6x750ml Gift "</f>
        <v xml:space="preserve">6x750ml Gift </v>
      </c>
    </row>
    <row r="21" spans="1:33" x14ac:dyDescent="0.25">
      <c r="A21" s="10" t="e">
        <f>IF(#REF!=0,"Hide","Show")</f>
        <v>#REF!</v>
      </c>
      <c r="B21" s="32" t="str">
        <f>"Champagne Bollinger"</f>
        <v>Champagne Bollinger</v>
      </c>
      <c r="C21" s="33" t="str">
        <f>"Rose"</f>
        <v>Rose</v>
      </c>
      <c r="D21" s="34">
        <v>3</v>
      </c>
      <c r="E21" s="34">
        <v>1500</v>
      </c>
      <c r="F21" s="34" t="str">
        <f>"NV"</f>
        <v>NV</v>
      </c>
      <c r="G21" s="34" t="str">
        <f>"Rose"</f>
        <v>Rose</v>
      </c>
      <c r="H21" s="35" t="str">
        <f>"CHAMPAGNE"</f>
        <v>CHAMPAGNE</v>
      </c>
      <c r="I21" s="35" t="str">
        <f>"SPARKLING BLEND"</f>
        <v>SPARKLING BLEND</v>
      </c>
      <c r="J21" s="13" t="s">
        <v>79</v>
      </c>
      <c r="K21" s="13" t="str">
        <f>VLOOKUP(B21,Sheet1!$A:$D,2,FALSE)</f>
        <v>No</v>
      </c>
      <c r="L21" s="13" t="str">
        <f>VLOOKUP(B21,Sheet1!$A:$D,3,FALSE)</f>
        <v>Yes</v>
      </c>
      <c r="M21" s="13" t="str">
        <f>VLOOKUP(B21,Sheet1!$A:$D,4,FALSE)</f>
        <v>No</v>
      </c>
      <c r="N21" s="9">
        <v>12</v>
      </c>
      <c r="O21" s="13" t="str">
        <f t="shared" si="10"/>
        <v>UPC</v>
      </c>
      <c r="P21" s="13" t="str">
        <f t="shared" si="11"/>
        <v/>
      </c>
      <c r="Q21" s="36" t="str">
        <f>"852165006041"</f>
        <v>852165006041</v>
      </c>
      <c r="R21" s="36" t="str">
        <f>"20852165006045"</f>
        <v>20852165006045</v>
      </c>
      <c r="S21" s="22">
        <v>0</v>
      </c>
      <c r="T21" s="22">
        <v>14.3</v>
      </c>
      <c r="U21" s="22">
        <v>7.6666700000000008</v>
      </c>
      <c r="V21" s="22">
        <v>16</v>
      </c>
      <c r="W21" s="22">
        <v>15</v>
      </c>
      <c r="X21" s="22">
        <v>6</v>
      </c>
      <c r="Y21" s="13">
        <v>23</v>
      </c>
      <c r="Z21" s="22">
        <f t="shared" si="12"/>
        <v>0.83333333333333337</v>
      </c>
      <c r="AA21" s="13">
        <v>10</v>
      </c>
      <c r="AB21" s="13">
        <v>9</v>
      </c>
      <c r="AC21" s="13">
        <v>90</v>
      </c>
      <c r="AD21" s="13">
        <f t="shared" si="13"/>
        <v>54</v>
      </c>
      <c r="AE21" s="13">
        <f t="shared" si="14"/>
        <v>2070</v>
      </c>
      <c r="AG21" s="28" t="str">
        <f>"3x1.5L C"</f>
        <v>3x1.5L C</v>
      </c>
    </row>
    <row r="22" spans="1:33" x14ac:dyDescent="0.25">
      <c r="A22" s="10" t="e">
        <f>IF(#REF!=0,"Hide","Show")</f>
        <v>#REF!</v>
      </c>
      <c r="B22" s="32" t="str">
        <f>"Champagne Bollinger"</f>
        <v>Champagne Bollinger</v>
      </c>
      <c r="C22" s="33" t="str">
        <f>"Rose"</f>
        <v>Rose</v>
      </c>
      <c r="D22" s="34">
        <v>3</v>
      </c>
      <c r="E22" s="34">
        <v>1500</v>
      </c>
      <c r="F22" s="34" t="str">
        <f>"NV"</f>
        <v>NV</v>
      </c>
      <c r="G22" s="34" t="str">
        <f>"Rose"</f>
        <v>Rose</v>
      </c>
      <c r="H22" s="35" t="str">
        <f>"CHAMPAGNE"</f>
        <v>CHAMPAGNE</v>
      </c>
      <c r="I22" s="35" t="str">
        <f>"SPARKLING BLEND"</f>
        <v>SPARKLING BLEND</v>
      </c>
      <c r="J22" s="13" t="s">
        <v>79</v>
      </c>
      <c r="K22" s="13" t="str">
        <f>VLOOKUP(B22,Sheet1!$A:$D,2,FALSE)</f>
        <v>No</v>
      </c>
      <c r="L22" s="13" t="str">
        <f>VLOOKUP(B22,Sheet1!$A:$D,3,FALSE)</f>
        <v>Yes</v>
      </c>
      <c r="M22" s="13" t="str">
        <f>VLOOKUP(B22,Sheet1!$A:$D,4,FALSE)</f>
        <v>No</v>
      </c>
      <c r="N22" s="9">
        <v>12</v>
      </c>
      <c r="O22" s="13" t="str">
        <f t="shared" si="10"/>
        <v>UPC</v>
      </c>
      <c r="P22" s="13" t="str">
        <f t="shared" si="11"/>
        <v>Gift Box</v>
      </c>
      <c r="Q22" s="36" t="str">
        <f>"852165006041"</f>
        <v>852165006041</v>
      </c>
      <c r="R22" s="36" t="str">
        <f>"20852165006045"</f>
        <v>20852165006045</v>
      </c>
      <c r="S22" s="22">
        <v>0</v>
      </c>
      <c r="T22" s="22">
        <v>14.39</v>
      </c>
      <c r="U22" s="22">
        <v>7.64</v>
      </c>
      <c r="V22" s="22">
        <v>15.8</v>
      </c>
      <c r="W22" s="22">
        <v>15</v>
      </c>
      <c r="X22" s="22">
        <v>6</v>
      </c>
      <c r="Y22" s="13">
        <v>24</v>
      </c>
      <c r="Z22" s="22">
        <f t="shared" si="12"/>
        <v>0.82291666666666663</v>
      </c>
      <c r="AA22" s="13">
        <v>10</v>
      </c>
      <c r="AB22" s="13">
        <v>6</v>
      </c>
      <c r="AC22" s="13">
        <v>60</v>
      </c>
      <c r="AD22" s="13">
        <f t="shared" si="13"/>
        <v>36</v>
      </c>
      <c r="AE22" s="13">
        <f t="shared" si="14"/>
        <v>1440</v>
      </c>
      <c r="AG22" s="28" t="str">
        <f>"3x1.5L Gift"</f>
        <v>3x1.5L Gift</v>
      </c>
    </row>
    <row r="23" spans="1:33" x14ac:dyDescent="0.25">
      <c r="A23" s="10" t="e">
        <f>IF(#REF!=0,"Hide","Show")</f>
        <v>#REF!</v>
      </c>
      <c r="B23" s="32" t="str">
        <f>"Champagne Bollinger"</f>
        <v>Champagne Bollinger</v>
      </c>
      <c r="C23" s="33" t="str">
        <f>"Rose"</f>
        <v>Rose</v>
      </c>
      <c r="D23" s="34">
        <v>1</v>
      </c>
      <c r="E23" s="34">
        <v>3000</v>
      </c>
      <c r="F23" s="34" t="str">
        <f>"NV"</f>
        <v>NV</v>
      </c>
      <c r="G23" s="34" t="str">
        <f>"Rose"</f>
        <v>Rose</v>
      </c>
      <c r="H23" s="35" t="str">
        <f>"CHAMPAGNE"</f>
        <v>CHAMPAGNE</v>
      </c>
      <c r="I23" s="35" t="str">
        <f>"SPARKLING BLEND"</f>
        <v>SPARKLING BLEND</v>
      </c>
      <c r="J23" s="13" t="s">
        <v>79</v>
      </c>
      <c r="K23" s="13" t="str">
        <f>VLOOKUP(B23,Sheet1!$A:$D,2,FALSE)</f>
        <v>No</v>
      </c>
      <c r="L23" s="13" t="str">
        <f>VLOOKUP(B23,Sheet1!$A:$D,3,FALSE)</f>
        <v>Yes</v>
      </c>
      <c r="M23" s="13" t="str">
        <f>VLOOKUP(B23,Sheet1!$A:$D,4,FALSE)</f>
        <v>No</v>
      </c>
      <c r="N23" s="9">
        <v>12</v>
      </c>
      <c r="O23" s="13" t="str">
        <f t="shared" si="10"/>
        <v>UPC</v>
      </c>
      <c r="P23" s="13" t="str">
        <f t="shared" si="11"/>
        <v/>
      </c>
      <c r="Q23" s="36" t="str">
        <f>"852165006058"</f>
        <v>852165006058</v>
      </c>
      <c r="R23" s="36" t="str">
        <f>"40852165006056"</f>
        <v>40852165006056</v>
      </c>
      <c r="S23" s="22">
        <v>0</v>
      </c>
      <c r="T23" s="22">
        <v>18.600000000000001</v>
      </c>
      <c r="U23" s="22">
        <v>21</v>
      </c>
      <c r="V23" s="22">
        <v>23</v>
      </c>
      <c r="W23" s="22">
        <v>8</v>
      </c>
      <c r="X23" s="22">
        <v>7</v>
      </c>
      <c r="Y23" s="13">
        <v>21</v>
      </c>
      <c r="Z23" s="22">
        <f t="shared" si="12"/>
        <v>0.74537037037037035</v>
      </c>
      <c r="AA23" s="13">
        <v>9</v>
      </c>
      <c r="AB23" s="13">
        <v>7</v>
      </c>
      <c r="AC23" s="13">
        <v>63</v>
      </c>
      <c r="AD23" s="13">
        <f t="shared" si="13"/>
        <v>49</v>
      </c>
      <c r="AE23" s="13">
        <f t="shared" si="14"/>
        <v>1323</v>
      </c>
      <c r="AG23" s="28" t="str">
        <f>"1x3L W"</f>
        <v>1x3L W</v>
      </c>
    </row>
    <row r="24" spans="1:33" x14ac:dyDescent="0.25">
      <c r="A24" s="10" t="e">
        <f>IF(#REF!=0,"Hide","Show")</f>
        <v>#REF!</v>
      </c>
      <c r="B24" s="32" t="str">
        <f>"Champagne Bollinger"</f>
        <v>Champagne Bollinger</v>
      </c>
      <c r="C24" s="33" t="str">
        <f>"La Grande Annee"</f>
        <v>La Grande Annee</v>
      </c>
      <c r="D24" s="34">
        <v>3</v>
      </c>
      <c r="E24" s="34">
        <v>1500</v>
      </c>
      <c r="F24" s="34" t="str">
        <f>"2005"</f>
        <v>2005</v>
      </c>
      <c r="G24" s="34" t="str">
        <f>"White"</f>
        <v>White</v>
      </c>
      <c r="H24" s="35" t="str">
        <f>"CHAMPAGNE"</f>
        <v>CHAMPAGNE</v>
      </c>
      <c r="I24" s="35" t="str">
        <f>"SPARKLING BLEND"</f>
        <v>SPARKLING BLEND</v>
      </c>
      <c r="J24" s="13" t="s">
        <v>79</v>
      </c>
      <c r="K24" s="13" t="str">
        <f>VLOOKUP(B24,Sheet1!$A:$D,2,FALSE)</f>
        <v>No</v>
      </c>
      <c r="L24" s="13" t="str">
        <f>VLOOKUP(B24,Sheet1!$A:$D,3,FALSE)</f>
        <v>Yes</v>
      </c>
      <c r="M24" s="13" t="str">
        <f>VLOOKUP(B24,Sheet1!$A:$D,4,FALSE)</f>
        <v>No</v>
      </c>
      <c r="N24" s="9">
        <v>12</v>
      </c>
      <c r="O24" s="13" t="str">
        <f t="shared" si="5"/>
        <v>UPC</v>
      </c>
      <c r="P24" s="13" t="str">
        <f t="shared" si="6"/>
        <v/>
      </c>
      <c r="Q24" s="36" t="str">
        <f>"852165006225"</f>
        <v>852165006225</v>
      </c>
      <c r="R24" s="36" t="str">
        <f>"30852165006226"</f>
        <v>30852165006226</v>
      </c>
      <c r="S24" s="22">
        <v>0</v>
      </c>
      <c r="T24" s="22">
        <v>11.81</v>
      </c>
      <c r="U24" s="22">
        <v>7.6666700000000008</v>
      </c>
      <c r="V24" s="22">
        <v>17</v>
      </c>
      <c r="W24" s="22">
        <v>13</v>
      </c>
      <c r="X24" s="22">
        <v>6</v>
      </c>
      <c r="Y24" s="13">
        <v>23</v>
      </c>
      <c r="Z24" s="22">
        <f t="shared" si="7"/>
        <v>0.76736111111111116</v>
      </c>
      <c r="AA24" s="13">
        <v>9</v>
      </c>
      <c r="AB24" s="13">
        <v>8</v>
      </c>
      <c r="AC24" s="13">
        <v>72</v>
      </c>
      <c r="AD24" s="13">
        <f t="shared" si="8"/>
        <v>48</v>
      </c>
      <c r="AE24" s="13">
        <f t="shared" si="9"/>
        <v>1656</v>
      </c>
      <c r="AG24" s="28" t="str">
        <f>"3x1.5L C"</f>
        <v>3x1.5L C</v>
      </c>
    </row>
    <row r="25" spans="1:33" x14ac:dyDescent="0.25">
      <c r="A25" s="10" t="e">
        <f>IF(#REF!=0,"Hide","Show")</f>
        <v>#REF!</v>
      </c>
      <c r="B25" s="32" t="str">
        <f>"Champagne Bollinger"</f>
        <v>Champagne Bollinger</v>
      </c>
      <c r="C25" s="33" t="str">
        <f>"La Grande Annee"</f>
        <v>La Grande Annee</v>
      </c>
      <c r="D25" s="34">
        <v>6</v>
      </c>
      <c r="E25" s="34">
        <v>750</v>
      </c>
      <c r="F25" s="34" t="str">
        <f>"2007"</f>
        <v>2007</v>
      </c>
      <c r="G25" s="34" t="str">
        <f>"White"</f>
        <v>White</v>
      </c>
      <c r="H25" s="35" t="str">
        <f>"CHAMPAGNE"</f>
        <v>CHAMPAGNE</v>
      </c>
      <c r="I25" s="35" t="str">
        <f>"SPARKLING BLEND"</f>
        <v>SPARKLING BLEND</v>
      </c>
      <c r="J25" s="13" t="s">
        <v>79</v>
      </c>
      <c r="K25" s="13" t="str">
        <f>VLOOKUP(B25,Sheet1!$A:$D,2,FALSE)</f>
        <v>No</v>
      </c>
      <c r="L25" s="13" t="str">
        <f>VLOOKUP(B25,Sheet1!$A:$D,3,FALSE)</f>
        <v>Yes</v>
      </c>
      <c r="M25" s="13" t="str">
        <f>VLOOKUP(B25,Sheet1!$A:$D,4,FALSE)</f>
        <v>No</v>
      </c>
      <c r="N25" s="9">
        <v>12</v>
      </c>
      <c r="O25" s="13" t="str">
        <f t="shared" ref="O25:O27" si="15">IF(LEN(Q25)=12,"UPC",IF(LEN(Q25)&gt;12,"EAN",""))</f>
        <v>UPC</v>
      </c>
      <c r="P25" s="13" t="str">
        <f t="shared" ref="P25:P27" si="16">IF(ISNUMBER(SEARCH("Gift",AG25)),"Gift Box","")</f>
        <v/>
      </c>
      <c r="Q25" s="36" t="str">
        <f>"864576000174"</f>
        <v>864576000174</v>
      </c>
      <c r="R25" s="36" t="str">
        <f>"30864576000175"</f>
        <v>30864576000175</v>
      </c>
      <c r="S25" s="22">
        <v>3.5</v>
      </c>
      <c r="T25" s="22">
        <v>11.8</v>
      </c>
      <c r="U25" s="22">
        <v>3.8333299999999997</v>
      </c>
      <c r="V25" s="22">
        <v>13</v>
      </c>
      <c r="W25" s="22">
        <v>9</v>
      </c>
      <c r="X25" s="22">
        <v>8</v>
      </c>
      <c r="Y25" s="13">
        <v>23</v>
      </c>
      <c r="Z25" s="22">
        <f t="shared" ref="Z25:Z27" si="17">IF(V25&gt;0,(V25*W25*X25)/1728,"")</f>
        <v>0.54166666666666663</v>
      </c>
      <c r="AA25" s="13">
        <v>14</v>
      </c>
      <c r="AB25" s="13">
        <v>6</v>
      </c>
      <c r="AC25" s="13">
        <v>84</v>
      </c>
      <c r="AD25" s="13">
        <f t="shared" ref="AD25:AD27" si="18">IF(AB25&gt;0,AB25*X25,"")</f>
        <v>48</v>
      </c>
      <c r="AE25" s="13">
        <f t="shared" ref="AE25:AE27" si="19">IF(Y25&gt;0,Y25*(AA25*AB25),"")</f>
        <v>1932</v>
      </c>
      <c r="AG25" s="28" t="str">
        <f>"6x750ml C"</f>
        <v>6x750ml C</v>
      </c>
    </row>
    <row r="26" spans="1:33" x14ac:dyDescent="0.25">
      <c r="A26" s="10" t="e">
        <f>IF(#REF!=0,"Hide","Show")</f>
        <v>#REF!</v>
      </c>
      <c r="B26" s="32" t="str">
        <f>"Champagne Bollinger"</f>
        <v>Champagne Bollinger</v>
      </c>
      <c r="C26" s="33" t="str">
        <f>"La Grande Annee"</f>
        <v>La Grande Annee</v>
      </c>
      <c r="D26" s="34">
        <v>6</v>
      </c>
      <c r="E26" s="34">
        <v>750</v>
      </c>
      <c r="F26" s="34" t="str">
        <f>"2007"</f>
        <v>2007</v>
      </c>
      <c r="G26" s="34" t="str">
        <f>"White"</f>
        <v>White</v>
      </c>
      <c r="H26" s="35" t="str">
        <f>"CHAMPAGNE"</f>
        <v>CHAMPAGNE</v>
      </c>
      <c r="I26" s="35" t="str">
        <f>"SPARKLING BLEND"</f>
        <v>SPARKLING BLEND</v>
      </c>
      <c r="J26" s="13" t="s">
        <v>79</v>
      </c>
      <c r="K26" s="13" t="str">
        <f>VLOOKUP(B26,Sheet1!$A:$D,2,FALSE)</f>
        <v>No</v>
      </c>
      <c r="L26" s="13" t="str">
        <f>VLOOKUP(B26,Sheet1!$A:$D,3,FALSE)</f>
        <v>Yes</v>
      </c>
      <c r="M26" s="13" t="str">
        <f>VLOOKUP(B26,Sheet1!$A:$D,4,FALSE)</f>
        <v>No</v>
      </c>
      <c r="N26" s="9">
        <v>12</v>
      </c>
      <c r="O26" s="13" t="str">
        <f t="shared" si="15"/>
        <v>UPC</v>
      </c>
      <c r="P26" s="13" t="str">
        <f t="shared" si="16"/>
        <v>Gift Box</v>
      </c>
      <c r="Q26" s="36" t="str">
        <f>"864576000174"</f>
        <v>864576000174</v>
      </c>
      <c r="R26" s="36" t="str">
        <f>"30864576000175"</f>
        <v>30864576000175</v>
      </c>
      <c r="S26" s="22">
        <v>3.5</v>
      </c>
      <c r="T26" s="22">
        <v>11.8</v>
      </c>
      <c r="U26" s="22">
        <v>5</v>
      </c>
      <c r="V26" s="22">
        <v>15</v>
      </c>
      <c r="W26" s="22">
        <v>10</v>
      </c>
      <c r="X26" s="22">
        <v>14</v>
      </c>
      <c r="Y26" s="13">
        <v>30</v>
      </c>
      <c r="Z26" s="22">
        <f t="shared" si="17"/>
        <v>1.2152777777777777</v>
      </c>
      <c r="AA26" s="13">
        <v>10</v>
      </c>
      <c r="AB26" s="13">
        <v>4</v>
      </c>
      <c r="AC26" s="13">
        <v>40</v>
      </c>
      <c r="AD26" s="13">
        <f t="shared" si="18"/>
        <v>56</v>
      </c>
      <c r="AE26" s="13">
        <f t="shared" si="19"/>
        <v>1200</v>
      </c>
      <c r="AG26" s="28" t="str">
        <f>"6x750ml Gift "</f>
        <v xml:space="preserve">6x750ml Gift </v>
      </c>
    </row>
    <row r="27" spans="1:33" x14ac:dyDescent="0.25">
      <c r="A27" s="10" t="e">
        <f>IF(#REF!=0,"Hide","Show")</f>
        <v>#REF!</v>
      </c>
      <c r="B27" s="32" t="str">
        <f>"Champagne Bollinger"</f>
        <v>Champagne Bollinger</v>
      </c>
      <c r="C27" s="33" t="str">
        <f>"La Grande Annee"</f>
        <v>La Grande Annee</v>
      </c>
      <c r="D27" s="34">
        <v>3</v>
      </c>
      <c r="E27" s="34">
        <v>1500</v>
      </c>
      <c r="F27" s="34" t="str">
        <f>"2007"</f>
        <v>2007</v>
      </c>
      <c r="G27" s="34" t="str">
        <f>"White"</f>
        <v>White</v>
      </c>
      <c r="H27" s="35" t="str">
        <f>"CHAMPAGNE"</f>
        <v>CHAMPAGNE</v>
      </c>
      <c r="I27" s="35" t="str">
        <f>"SPARKLING BLEND"</f>
        <v>SPARKLING BLEND</v>
      </c>
      <c r="J27" s="13" t="s">
        <v>79</v>
      </c>
      <c r="K27" s="13" t="str">
        <f>VLOOKUP(B27,Sheet1!$A:$D,2,FALSE)</f>
        <v>No</v>
      </c>
      <c r="L27" s="13" t="str">
        <f>VLOOKUP(B27,Sheet1!$A:$D,3,FALSE)</f>
        <v>Yes</v>
      </c>
      <c r="M27" s="13" t="str">
        <f>VLOOKUP(B27,Sheet1!$A:$D,4,FALSE)</f>
        <v>No</v>
      </c>
      <c r="N27" s="9">
        <v>12</v>
      </c>
      <c r="O27" s="13" t="str">
        <f t="shared" si="15"/>
        <v>UPC</v>
      </c>
      <c r="P27" s="13" t="str">
        <f t="shared" si="16"/>
        <v/>
      </c>
      <c r="Q27" s="36" t="str">
        <f>"852165006225"</f>
        <v>852165006225</v>
      </c>
      <c r="R27" s="36" t="str">
        <f>"20852165006229"</f>
        <v>20852165006229</v>
      </c>
      <c r="S27" s="22">
        <v>0</v>
      </c>
      <c r="T27" s="22">
        <v>11.81</v>
      </c>
      <c r="U27" s="22">
        <v>7.6666700000000008</v>
      </c>
      <c r="V27" s="22">
        <v>17</v>
      </c>
      <c r="W27" s="22">
        <v>13</v>
      </c>
      <c r="X27" s="22">
        <v>6</v>
      </c>
      <c r="Y27" s="13">
        <v>23</v>
      </c>
      <c r="Z27" s="22">
        <f t="shared" si="17"/>
        <v>0.76736111111111116</v>
      </c>
      <c r="AA27" s="13">
        <v>9</v>
      </c>
      <c r="AB27" s="13">
        <v>8</v>
      </c>
      <c r="AC27" s="13">
        <v>72</v>
      </c>
      <c r="AD27" s="13">
        <f t="shared" si="18"/>
        <v>48</v>
      </c>
      <c r="AE27" s="13">
        <f t="shared" si="19"/>
        <v>1656</v>
      </c>
      <c r="AG27" s="28" t="str">
        <f>"3x1.5L C"</f>
        <v>3x1.5L C</v>
      </c>
    </row>
    <row r="28" spans="1:33" x14ac:dyDescent="0.25">
      <c r="A28" s="10" t="e">
        <f>IF(#REF!=0,"Hide","Show")</f>
        <v>#REF!</v>
      </c>
      <c r="B28" s="32" t="str">
        <f>"Champagne Bollinger"</f>
        <v>Champagne Bollinger</v>
      </c>
      <c r="C28" s="33" t="str">
        <f>"La Grande Annee Rose"</f>
        <v>La Grande Annee Rose</v>
      </c>
      <c r="D28" s="34">
        <v>6</v>
      </c>
      <c r="E28" s="34">
        <v>750</v>
      </c>
      <c r="F28" s="34" t="str">
        <f>"2005"</f>
        <v>2005</v>
      </c>
      <c r="G28" s="34" t="str">
        <f>"Rose"</f>
        <v>Rose</v>
      </c>
      <c r="H28" s="35" t="str">
        <f>"CHAMPAGNE"</f>
        <v>CHAMPAGNE</v>
      </c>
      <c r="I28" s="35" t="str">
        <f>"SPARKLING BLEND"</f>
        <v>SPARKLING BLEND</v>
      </c>
      <c r="J28" s="13" t="s">
        <v>79</v>
      </c>
      <c r="K28" s="13" t="str">
        <f>VLOOKUP(B28,Sheet1!$A:$D,2,FALSE)</f>
        <v>No</v>
      </c>
      <c r="L28" s="13" t="str">
        <f>VLOOKUP(B28,Sheet1!$A:$D,3,FALSE)</f>
        <v>Yes</v>
      </c>
      <c r="M28" s="13" t="str">
        <f>VLOOKUP(B28,Sheet1!$A:$D,4,FALSE)</f>
        <v>No</v>
      </c>
      <c r="N28" s="9">
        <v>12</v>
      </c>
      <c r="O28" s="13" t="str">
        <f t="shared" si="5"/>
        <v>UPC</v>
      </c>
      <c r="P28" s="13" t="str">
        <f t="shared" si="6"/>
        <v/>
      </c>
      <c r="Q28" s="36" t="str">
        <f>"864576000181"</f>
        <v>864576000181</v>
      </c>
      <c r="R28" s="36" t="str">
        <f>"30864576000182"</f>
        <v>30864576000182</v>
      </c>
      <c r="S28" s="22">
        <v>3.5</v>
      </c>
      <c r="T28" s="22">
        <v>11.8</v>
      </c>
      <c r="U28" s="22">
        <v>3.8333299999999997</v>
      </c>
      <c r="V28" s="22">
        <v>13</v>
      </c>
      <c r="W28" s="22">
        <v>10</v>
      </c>
      <c r="X28" s="22">
        <v>8</v>
      </c>
      <c r="Y28" s="13">
        <v>23</v>
      </c>
      <c r="Z28" s="22">
        <f t="shared" si="7"/>
        <v>0.60185185185185186</v>
      </c>
      <c r="AA28" s="13">
        <v>14</v>
      </c>
      <c r="AB28" s="13">
        <v>6</v>
      </c>
      <c r="AC28" s="13">
        <v>84</v>
      </c>
      <c r="AD28" s="13">
        <f t="shared" si="8"/>
        <v>48</v>
      </c>
      <c r="AE28" s="13">
        <f t="shared" si="9"/>
        <v>1932</v>
      </c>
      <c r="AG28" s="28" t="str">
        <f>"6x750ml C"</f>
        <v>6x750ml C</v>
      </c>
    </row>
    <row r="29" spans="1:33" x14ac:dyDescent="0.25">
      <c r="A29" s="10" t="e">
        <f>IF(#REF!=0,"Hide","Show")</f>
        <v>#REF!</v>
      </c>
      <c r="B29" s="32" t="str">
        <f>"Champagne Bollinger"</f>
        <v>Champagne Bollinger</v>
      </c>
      <c r="C29" s="33" t="str">
        <f>"La Grande Annee Rose"</f>
        <v>La Grande Annee Rose</v>
      </c>
      <c r="D29" s="34">
        <v>6</v>
      </c>
      <c r="E29" s="34">
        <v>750</v>
      </c>
      <c r="F29" s="34" t="str">
        <f>"2007"</f>
        <v>2007</v>
      </c>
      <c r="G29" s="34" t="str">
        <f>"Rose"</f>
        <v>Rose</v>
      </c>
      <c r="H29" s="35" t="str">
        <f>"CHAMPAGNE"</f>
        <v>CHAMPAGNE</v>
      </c>
      <c r="I29" s="35" t="str">
        <f>"SPARKLING BLEND"</f>
        <v>SPARKLING BLEND</v>
      </c>
      <c r="J29" s="13" t="s">
        <v>79</v>
      </c>
      <c r="K29" s="13" t="str">
        <f>VLOOKUP(B29,Sheet1!$A:$D,2,FALSE)</f>
        <v>No</v>
      </c>
      <c r="L29" s="13" t="str">
        <f>VLOOKUP(B29,Sheet1!$A:$D,3,FALSE)</f>
        <v>Yes</v>
      </c>
      <c r="M29" s="13" t="str">
        <f>VLOOKUP(B29,Sheet1!$A:$D,4,FALSE)</f>
        <v>No</v>
      </c>
      <c r="N29" s="9">
        <v>12</v>
      </c>
      <c r="O29" s="13" t="str">
        <f t="shared" ref="O29:O30" si="20">IF(LEN(Q29)=12,"UPC",IF(LEN(Q29)&gt;12,"EAN",""))</f>
        <v>UPC</v>
      </c>
      <c r="P29" s="13" t="str">
        <f t="shared" ref="P29:P30" si="21">IF(ISNUMBER(SEARCH("Gift",AG29)),"Gift Box","")</f>
        <v/>
      </c>
      <c r="Q29" s="36" t="str">
        <f>"864576000181"</f>
        <v>864576000181</v>
      </c>
      <c r="R29" s="36" t="str">
        <f>"30864576000182"</f>
        <v>30864576000182</v>
      </c>
      <c r="S29" s="22">
        <v>3.5</v>
      </c>
      <c r="T29" s="22">
        <v>11.8</v>
      </c>
      <c r="U29" s="22">
        <v>3.8333299999999997</v>
      </c>
      <c r="V29" s="22">
        <v>13</v>
      </c>
      <c r="W29" s="22">
        <v>10</v>
      </c>
      <c r="X29" s="22">
        <v>8</v>
      </c>
      <c r="Y29" s="13">
        <v>23</v>
      </c>
      <c r="Z29" s="22">
        <f t="shared" ref="Z29:Z30" si="22">IF(V29&gt;0,(V29*W29*X29)/1728,"")</f>
        <v>0.60185185185185186</v>
      </c>
      <c r="AA29" s="13">
        <v>14</v>
      </c>
      <c r="AB29" s="13">
        <v>6</v>
      </c>
      <c r="AC29" s="13">
        <v>84</v>
      </c>
      <c r="AD29" s="13">
        <f t="shared" ref="AD29:AD30" si="23">IF(AB29&gt;0,AB29*X29,"")</f>
        <v>48</v>
      </c>
      <c r="AE29" s="13">
        <f t="shared" ref="AE29:AE30" si="24">IF(Y29&gt;0,Y29*(AA29*AB29),"")</f>
        <v>1932</v>
      </c>
      <c r="AG29" s="28" t="str">
        <f>"6x750ml C"</f>
        <v>6x750ml C</v>
      </c>
    </row>
    <row r="30" spans="1:33" x14ac:dyDescent="0.25">
      <c r="A30" s="10" t="e">
        <f>IF(#REF!=0,"Hide","Show")</f>
        <v>#REF!</v>
      </c>
      <c r="B30" s="32" t="str">
        <f>"Champagne Bollinger"</f>
        <v>Champagne Bollinger</v>
      </c>
      <c r="C30" s="33" t="str">
        <f>"La Grande Annee Rose"</f>
        <v>La Grande Annee Rose</v>
      </c>
      <c r="D30" s="34">
        <v>6</v>
      </c>
      <c r="E30" s="34">
        <v>750</v>
      </c>
      <c r="F30" s="34" t="str">
        <f>"2007"</f>
        <v>2007</v>
      </c>
      <c r="G30" s="34" t="str">
        <f>"Rose"</f>
        <v>Rose</v>
      </c>
      <c r="H30" s="35" t="str">
        <f>"CHAMPAGNE"</f>
        <v>CHAMPAGNE</v>
      </c>
      <c r="I30" s="35" t="str">
        <f>"SPARKLING BLEND"</f>
        <v>SPARKLING BLEND</v>
      </c>
      <c r="J30" s="13" t="s">
        <v>79</v>
      </c>
      <c r="K30" s="13" t="str">
        <f>VLOOKUP(B30,Sheet1!$A:$D,2,FALSE)</f>
        <v>No</v>
      </c>
      <c r="L30" s="13" t="str">
        <f>VLOOKUP(B30,Sheet1!$A:$D,3,FALSE)</f>
        <v>Yes</v>
      </c>
      <c r="M30" s="13" t="str">
        <f>VLOOKUP(B30,Sheet1!$A:$D,4,FALSE)</f>
        <v>No</v>
      </c>
      <c r="N30" s="9">
        <v>12</v>
      </c>
      <c r="O30" s="13" t="str">
        <f t="shared" si="20"/>
        <v>UPC</v>
      </c>
      <c r="P30" s="13" t="str">
        <f t="shared" si="21"/>
        <v>Gift Box</v>
      </c>
      <c r="Q30" s="36" t="str">
        <f>"864576000181"</f>
        <v>864576000181</v>
      </c>
      <c r="R30" s="36" t="str">
        <f>"30864576000182"</f>
        <v>30864576000182</v>
      </c>
      <c r="S30" s="22">
        <v>0</v>
      </c>
      <c r="T30" s="22">
        <v>0</v>
      </c>
      <c r="U30" s="22">
        <v>5.33</v>
      </c>
      <c r="V30" s="22">
        <v>15</v>
      </c>
      <c r="W30" s="22">
        <v>10</v>
      </c>
      <c r="X30" s="22">
        <v>14</v>
      </c>
      <c r="Y30" s="13">
        <v>32</v>
      </c>
      <c r="Z30" s="22">
        <f t="shared" si="22"/>
        <v>1.2152777777777777</v>
      </c>
      <c r="AA30" s="13">
        <v>12</v>
      </c>
      <c r="AB30" s="13">
        <v>4</v>
      </c>
      <c r="AC30" s="13">
        <v>48</v>
      </c>
      <c r="AD30" s="13">
        <f t="shared" si="23"/>
        <v>56</v>
      </c>
      <c r="AE30" s="13">
        <f t="shared" si="24"/>
        <v>1536</v>
      </c>
      <c r="AG30" s="28" t="str">
        <f>"6x750ml Gift "</f>
        <v xml:space="preserve">6x750ml Gift </v>
      </c>
    </row>
    <row r="31" spans="1:33" x14ac:dyDescent="0.25">
      <c r="A31" s="10" t="e">
        <f>IF(#REF!=0,"Hide","Show")</f>
        <v>#REF!</v>
      </c>
      <c r="B31" s="32" t="str">
        <f>"Champagne Bollinger"</f>
        <v>Champagne Bollinger</v>
      </c>
      <c r="C31" s="33" t="str">
        <f>"R.D."</f>
        <v>R.D.</v>
      </c>
      <c r="D31" s="34">
        <v>3</v>
      </c>
      <c r="E31" s="34">
        <v>750</v>
      </c>
      <c r="F31" s="34" t="str">
        <f>"2002"</f>
        <v>2002</v>
      </c>
      <c r="G31" s="34" t="str">
        <f>"White"</f>
        <v>White</v>
      </c>
      <c r="H31" s="35" t="str">
        <f>"CHAMPAGNE"</f>
        <v>CHAMPAGNE</v>
      </c>
      <c r="I31" s="35" t="str">
        <f>"SPARKLING BLEND"</f>
        <v>SPARKLING BLEND</v>
      </c>
      <c r="J31" s="13" t="s">
        <v>79</v>
      </c>
      <c r="K31" s="13" t="str">
        <f>VLOOKUP(B31,Sheet1!$A:$D,2,FALSE)</f>
        <v>No</v>
      </c>
      <c r="L31" s="13" t="str">
        <f>VLOOKUP(B31,Sheet1!$A:$D,3,FALSE)</f>
        <v>Yes</v>
      </c>
      <c r="M31" s="13" t="str">
        <f>VLOOKUP(B31,Sheet1!$A:$D,4,FALSE)</f>
        <v>No</v>
      </c>
      <c r="N31" s="9">
        <v>12</v>
      </c>
      <c r="O31" s="13" t="str">
        <f t="shared" si="5"/>
        <v>UPC</v>
      </c>
      <c r="P31" s="13" t="str">
        <f t="shared" si="6"/>
        <v>Gift Box</v>
      </c>
      <c r="Q31" s="36" t="str">
        <f>"852165006195"</f>
        <v>852165006195</v>
      </c>
      <c r="R31" s="36" t="str">
        <f>"30852165006196"</f>
        <v>30852165006196</v>
      </c>
      <c r="S31" s="22">
        <v>3.5</v>
      </c>
      <c r="T31" s="22">
        <v>11.81</v>
      </c>
      <c r="U31" s="22">
        <v>3.92</v>
      </c>
      <c r="V31" s="22">
        <v>17</v>
      </c>
      <c r="W31" s="22">
        <v>15</v>
      </c>
      <c r="X31" s="22">
        <v>6</v>
      </c>
      <c r="Y31" s="13">
        <v>11.76</v>
      </c>
      <c r="Z31" s="22">
        <f t="shared" si="7"/>
        <v>0.88541666666666663</v>
      </c>
      <c r="AA31" s="13">
        <v>10</v>
      </c>
      <c r="AB31" s="13">
        <v>6</v>
      </c>
      <c r="AC31" s="13">
        <v>60</v>
      </c>
      <c r="AD31" s="13">
        <f t="shared" si="8"/>
        <v>36</v>
      </c>
      <c r="AE31" s="13">
        <f t="shared" si="9"/>
        <v>705.6</v>
      </c>
      <c r="AG31" s="28" t="str">
        <f>"3x750ml Gift"</f>
        <v>3x750ml Gift</v>
      </c>
    </row>
    <row r="32" spans="1:33" x14ac:dyDescent="0.25">
      <c r="A32" s="10" t="e">
        <f>IF(#REF!=0,"Hide","Show")</f>
        <v>#REF!</v>
      </c>
      <c r="B32" s="32" t="str">
        <f>"Champagne Bollinger"</f>
        <v>Champagne Bollinger</v>
      </c>
      <c r="C32" s="33" t="str">
        <f>"R.D."</f>
        <v>R.D.</v>
      </c>
      <c r="D32" s="34">
        <v>3</v>
      </c>
      <c r="E32" s="34">
        <v>750</v>
      </c>
      <c r="F32" s="34" t="str">
        <f>"2004"</f>
        <v>2004</v>
      </c>
      <c r="G32" s="34" t="str">
        <f>"White"</f>
        <v>White</v>
      </c>
      <c r="H32" s="35" t="str">
        <f>"CHAMPAGNE"</f>
        <v>CHAMPAGNE</v>
      </c>
      <c r="I32" s="35" t="str">
        <f>"SPARKLING BLEND"</f>
        <v>SPARKLING BLEND</v>
      </c>
      <c r="J32" s="13" t="s">
        <v>79</v>
      </c>
      <c r="K32" s="13" t="str">
        <f>VLOOKUP(B32,Sheet1!$A:$D,2,FALSE)</f>
        <v>No</v>
      </c>
      <c r="L32" s="13" t="str">
        <f>VLOOKUP(B32,Sheet1!$A:$D,3,FALSE)</f>
        <v>Yes</v>
      </c>
      <c r="M32" s="13" t="str">
        <f>VLOOKUP(B32,Sheet1!$A:$D,4,FALSE)</f>
        <v>No</v>
      </c>
      <c r="N32" s="9">
        <v>12</v>
      </c>
      <c r="O32" s="13" t="str">
        <f t="shared" ref="O32:O33" si="25">IF(LEN(Q32)=12,"UPC",IF(LEN(Q32)&gt;12,"EAN",""))</f>
        <v>UPC</v>
      </c>
      <c r="P32" s="13" t="str">
        <f t="shared" ref="P32:P33" si="26">IF(ISNUMBER(SEARCH("Gift",AG32)),"Gift Box","")</f>
        <v>Gift Box</v>
      </c>
      <c r="Q32" s="36" t="str">
        <f>"864576000198"</f>
        <v>864576000198</v>
      </c>
      <c r="R32" s="36" t="str">
        <f>"20864576000192"</f>
        <v>20864576000192</v>
      </c>
      <c r="S32" s="22">
        <v>3.5</v>
      </c>
      <c r="T32" s="22">
        <v>11.81</v>
      </c>
      <c r="U32" s="22">
        <v>3.92</v>
      </c>
      <c r="V32" s="22">
        <v>17</v>
      </c>
      <c r="W32" s="22">
        <v>15</v>
      </c>
      <c r="X32" s="22">
        <v>6</v>
      </c>
      <c r="Y32" s="13">
        <v>11.76</v>
      </c>
      <c r="Z32" s="22">
        <f t="shared" ref="Z32:Z33" si="27">IF(V32&gt;0,(V32*W32*X32)/1728,"")</f>
        <v>0.88541666666666663</v>
      </c>
      <c r="AA32" s="13">
        <v>10</v>
      </c>
      <c r="AB32" s="13">
        <v>6</v>
      </c>
      <c r="AC32" s="13">
        <v>60</v>
      </c>
      <c r="AD32" s="13">
        <f t="shared" ref="AD32:AD33" si="28">IF(AB32&gt;0,AB32*X32,"")</f>
        <v>36</v>
      </c>
      <c r="AE32" s="13">
        <f t="shared" ref="AE32:AE33" si="29">IF(Y32&gt;0,Y32*(AA32*AB32),"")</f>
        <v>705.6</v>
      </c>
      <c r="AG32" s="28" t="str">
        <f>"3x750ml Gift"</f>
        <v>3x750ml Gift</v>
      </c>
    </row>
    <row r="33" spans="1:33" x14ac:dyDescent="0.25">
      <c r="A33" s="10" t="e">
        <f>IF(#REF!=0,"Hide","Show")</f>
        <v>#REF!</v>
      </c>
      <c r="B33" s="32" t="str">
        <f>"Champagne Bollinger"</f>
        <v>Champagne Bollinger</v>
      </c>
      <c r="C33" s="33" t="str">
        <f>"R.D."</f>
        <v>R.D.</v>
      </c>
      <c r="D33" s="34">
        <v>1</v>
      </c>
      <c r="E33" s="34">
        <v>1500</v>
      </c>
      <c r="F33" s="34" t="str">
        <f>"2004"</f>
        <v>2004</v>
      </c>
      <c r="G33" s="34" t="str">
        <f>"White"</f>
        <v>White</v>
      </c>
      <c r="H33" s="35" t="str">
        <f>"CHAMPAGNE"</f>
        <v>CHAMPAGNE</v>
      </c>
      <c r="I33" s="35" t="str">
        <f>"SPARKLING BLEND"</f>
        <v>SPARKLING BLEND</v>
      </c>
      <c r="J33" s="13" t="s">
        <v>79</v>
      </c>
      <c r="K33" s="13" t="str">
        <f>VLOOKUP(B33,Sheet1!$A:$D,2,FALSE)</f>
        <v>No</v>
      </c>
      <c r="L33" s="13" t="str">
        <f>VLOOKUP(B33,Sheet1!$A:$D,3,FALSE)</f>
        <v>Yes</v>
      </c>
      <c r="M33" s="13" t="str">
        <f>VLOOKUP(B33,Sheet1!$A:$D,4,FALSE)</f>
        <v>No</v>
      </c>
      <c r="N33" s="9">
        <v>12.4</v>
      </c>
      <c r="O33" s="13" t="str">
        <f t="shared" si="25"/>
        <v>UPC</v>
      </c>
      <c r="P33" s="13" t="str">
        <f t="shared" si="26"/>
        <v/>
      </c>
      <c r="Q33" s="36" t="str">
        <f>"852165006065"</f>
        <v>852165006065</v>
      </c>
      <c r="R33" s="36" t="str">
        <f>"40852165006063"</f>
        <v>40852165006063</v>
      </c>
      <c r="S33" s="22">
        <v>0</v>
      </c>
      <c r="T33" s="22">
        <v>15</v>
      </c>
      <c r="U33" s="22">
        <v>7</v>
      </c>
      <c r="V33" s="22">
        <v>17</v>
      </c>
      <c r="W33" s="22">
        <v>6</v>
      </c>
      <c r="X33" s="22">
        <v>6</v>
      </c>
      <c r="Y33" s="13">
        <v>12</v>
      </c>
      <c r="Z33" s="22">
        <f t="shared" si="27"/>
        <v>0.35416666666666669</v>
      </c>
      <c r="AA33" s="13"/>
      <c r="AB33" s="13"/>
      <c r="AC33" s="13">
        <v>98</v>
      </c>
      <c r="AD33" s="13" t="str">
        <f t="shared" si="28"/>
        <v/>
      </c>
      <c r="AE33" s="13">
        <f t="shared" si="29"/>
        <v>0</v>
      </c>
      <c r="AG33" s="28" t="str">
        <f>"1x1.5L W"</f>
        <v>1x1.5L W</v>
      </c>
    </row>
    <row r="34" spans="1:33" x14ac:dyDescent="0.25">
      <c r="A34" s="10" t="e">
        <f>IF(#REF!=0,"Hide","Show")</f>
        <v>#REF!</v>
      </c>
      <c r="B34" s="32" t="s">
        <v>41</v>
      </c>
      <c r="C34" s="33" t="s">
        <v>83</v>
      </c>
      <c r="D34" s="34">
        <v>1</v>
      </c>
      <c r="E34" s="34">
        <v>750</v>
      </c>
      <c r="F34" s="34" t="s">
        <v>86</v>
      </c>
      <c r="G34" s="34" t="s">
        <v>89</v>
      </c>
      <c r="H34" s="35" t="s">
        <v>91</v>
      </c>
      <c r="I34" s="35" t="s">
        <v>77</v>
      </c>
      <c r="J34" s="13" t="s">
        <v>79</v>
      </c>
      <c r="K34" s="13" t="str">
        <f>VLOOKUP(B34,Sheet1!$A:$D,2,FALSE)</f>
        <v>No</v>
      </c>
      <c r="L34" s="13" t="str">
        <f>VLOOKUP(B34,Sheet1!$A:$D,3,FALSE)</f>
        <v>Yes</v>
      </c>
      <c r="M34" s="13" t="str">
        <f>VLOOKUP(B34,Sheet1!$A:$D,4,FALSE)</f>
        <v>No</v>
      </c>
      <c r="N34" s="9">
        <v>12</v>
      </c>
      <c r="O34" s="13" t="str">
        <f t="shared" si="5"/>
        <v>UPC</v>
      </c>
      <c r="P34" s="13" t="str">
        <f t="shared" si="6"/>
        <v/>
      </c>
      <c r="Q34" s="36" t="s">
        <v>80</v>
      </c>
      <c r="R34" s="36" t="s">
        <v>74</v>
      </c>
      <c r="S34" s="22">
        <v>0</v>
      </c>
      <c r="T34" s="22">
        <v>11.8</v>
      </c>
      <c r="U34" s="22">
        <v>3.64</v>
      </c>
      <c r="V34" s="22">
        <v>17</v>
      </c>
      <c r="W34" s="22">
        <v>6</v>
      </c>
      <c r="X34" s="22">
        <v>6</v>
      </c>
      <c r="Y34" s="13">
        <v>9</v>
      </c>
      <c r="Z34" s="22">
        <f t="shared" si="7"/>
        <v>0.35416666666666669</v>
      </c>
      <c r="AA34" s="13">
        <v>14</v>
      </c>
      <c r="AB34" s="13">
        <v>12</v>
      </c>
      <c r="AC34" s="13">
        <v>168</v>
      </c>
      <c r="AD34" s="13">
        <f t="shared" si="8"/>
        <v>72</v>
      </c>
      <c r="AE34" s="13">
        <f t="shared" si="9"/>
        <v>1512</v>
      </c>
      <c r="AG34" s="28" t="s">
        <v>71</v>
      </c>
    </row>
    <row r="35" spans="1:33" x14ac:dyDescent="0.25">
      <c r="A35" s="10" t="e">
        <f>IF(#REF!=0,"Hide","Show")</f>
        <v>#REF!</v>
      </c>
      <c r="B35" s="32" t="s">
        <v>41</v>
      </c>
      <c r="C35" s="33" t="s">
        <v>84</v>
      </c>
      <c r="D35" s="34">
        <v>3</v>
      </c>
      <c r="E35" s="34">
        <v>750</v>
      </c>
      <c r="F35" s="34" t="s">
        <v>87</v>
      </c>
      <c r="G35" s="34" t="s">
        <v>90</v>
      </c>
      <c r="H35" s="35" t="s">
        <v>92</v>
      </c>
      <c r="I35" s="35" t="s">
        <v>78</v>
      </c>
      <c r="J35" s="13" t="s">
        <v>79</v>
      </c>
      <c r="K35" s="13" t="str">
        <f>VLOOKUP(B35,Sheet1!$A:$D,2,FALSE)</f>
        <v>No</v>
      </c>
      <c r="L35" s="13" t="str">
        <f>VLOOKUP(B35,Sheet1!$A:$D,3,FALSE)</f>
        <v>Yes</v>
      </c>
      <c r="M35" s="13" t="str">
        <f>VLOOKUP(B35,Sheet1!$A:$D,4,FALSE)</f>
        <v>No</v>
      </c>
      <c r="N35" s="9">
        <v>12</v>
      </c>
      <c r="O35" s="13" t="str">
        <f t="shared" si="5"/>
        <v>UPC</v>
      </c>
      <c r="P35" s="13" t="str">
        <f t="shared" si="6"/>
        <v/>
      </c>
      <c r="Q35" s="36" t="s">
        <v>81</v>
      </c>
      <c r="R35" s="36" t="s">
        <v>75</v>
      </c>
      <c r="S35" s="22">
        <v>0</v>
      </c>
      <c r="T35" s="22">
        <v>11.8</v>
      </c>
      <c r="U35" s="22">
        <v>4</v>
      </c>
      <c r="V35" s="22">
        <v>13</v>
      </c>
      <c r="W35" s="22">
        <v>10</v>
      </c>
      <c r="X35" s="22">
        <v>4</v>
      </c>
      <c r="Y35" s="13">
        <v>12</v>
      </c>
      <c r="Z35" s="22">
        <f t="shared" si="7"/>
        <v>0.30092592592592593</v>
      </c>
      <c r="AA35" s="13">
        <v>14</v>
      </c>
      <c r="AB35" s="13">
        <v>12</v>
      </c>
      <c r="AC35" s="13">
        <v>168</v>
      </c>
      <c r="AD35" s="13">
        <f t="shared" si="8"/>
        <v>48</v>
      </c>
      <c r="AE35" s="13">
        <f t="shared" si="9"/>
        <v>2016</v>
      </c>
      <c r="AG35" s="28" t="s">
        <v>72</v>
      </c>
    </row>
    <row r="36" spans="1:33" ht="6" customHeight="1" x14ac:dyDescent="0.25">
      <c r="B36" s="15"/>
      <c r="C36" s="12"/>
      <c r="D36" s="12"/>
      <c r="E36" s="12"/>
      <c r="F36" s="19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24"/>
      <c r="T36" s="24"/>
      <c r="U36" s="24"/>
      <c r="V36" s="24"/>
      <c r="W36" s="24"/>
      <c r="X36" s="24"/>
      <c r="Y36" s="12"/>
      <c r="Z36" s="12"/>
      <c r="AA36" s="12"/>
      <c r="AB36" s="12"/>
      <c r="AC36" s="12"/>
      <c r="AD36" s="12"/>
      <c r="AE36" s="12"/>
      <c r="AG36" s="27"/>
    </row>
    <row r="37" spans="1:33" x14ac:dyDescent="0.25">
      <c r="B37" s="21" t="str">
        <f>"GIFT BOX SELECTIONS"</f>
        <v>GIFT BOX SELECTIONS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23"/>
      <c r="T37" s="23"/>
      <c r="U37" s="23"/>
      <c r="V37" s="23"/>
      <c r="W37" s="23"/>
      <c r="X37" s="23"/>
      <c r="Y37" s="11"/>
      <c r="Z37" s="11"/>
      <c r="AA37" s="11"/>
      <c r="AB37" s="11"/>
      <c r="AC37" s="11"/>
      <c r="AD37" s="11"/>
      <c r="AE37" s="11"/>
      <c r="AG37" s="28"/>
    </row>
    <row r="38" spans="1:33" x14ac:dyDescent="0.25">
      <c r="A38" s="10" t="e">
        <f>IF(#REF!=0,"Hide","Show")</f>
        <v>#REF!</v>
      </c>
      <c r="B38" s="32" t="s">
        <v>41</v>
      </c>
      <c r="C38" s="33" t="s">
        <v>85</v>
      </c>
      <c r="D38" s="34">
        <v>1</v>
      </c>
      <c r="E38" s="34">
        <v>1500</v>
      </c>
      <c r="F38" s="34" t="s">
        <v>88</v>
      </c>
      <c r="G38" s="34" t="s">
        <v>89</v>
      </c>
      <c r="H38" s="35" t="s">
        <v>91</v>
      </c>
      <c r="I38" s="35" t="s">
        <v>77</v>
      </c>
      <c r="J38" s="13" t="s">
        <v>79</v>
      </c>
      <c r="K38" s="13" t="str">
        <f>VLOOKUP(B38,Sheet1!$A:$D,2,FALSE)</f>
        <v>No</v>
      </c>
      <c r="L38" s="13" t="str">
        <f>VLOOKUP(B38,Sheet1!$A:$D,3,FALSE)</f>
        <v>Yes</v>
      </c>
      <c r="M38" s="13" t="str">
        <f>VLOOKUP(B38,Sheet1!$A:$D,4,FALSE)</f>
        <v>No</v>
      </c>
      <c r="N38" s="9">
        <v>12</v>
      </c>
      <c r="O38" s="13" t="str">
        <f>IF(LEN(Q38)=12,"UPC",IF(LEN(Q38)&gt;12,"EAN",""))</f>
        <v>UPC</v>
      </c>
      <c r="P38" s="13" t="str">
        <f>IF(ISNUMBER(SEARCH("Gift",AG38)),"Gift Box","")</f>
        <v>Gift Box</v>
      </c>
      <c r="Q38" s="36" t="s">
        <v>82</v>
      </c>
      <c r="R38" s="36" t="s">
        <v>76</v>
      </c>
      <c r="S38" s="22">
        <v>0</v>
      </c>
      <c r="T38" s="22">
        <v>0</v>
      </c>
      <c r="U38" s="22">
        <v>60</v>
      </c>
      <c r="V38" s="22">
        <v>29</v>
      </c>
      <c r="W38" s="22">
        <v>60</v>
      </c>
      <c r="X38" s="22">
        <v>12</v>
      </c>
      <c r="Y38" s="13">
        <v>60</v>
      </c>
      <c r="Z38" s="22">
        <f>IF(V38&gt;0,(V38*W38*X38)/1728,"")</f>
        <v>12.083333333333334</v>
      </c>
      <c r="AA38" s="13">
        <v>14</v>
      </c>
      <c r="AB38" s="13">
        <v>7</v>
      </c>
      <c r="AC38" s="13">
        <v>98</v>
      </c>
      <c r="AD38" s="13">
        <f>IF(AB38&gt;0,AB38*X38,"")</f>
        <v>84</v>
      </c>
      <c r="AE38" s="13">
        <f>IF(Y38&gt;0,Y38*(AA38*AB38),"")</f>
        <v>5880</v>
      </c>
      <c r="AG38" s="28" t="s">
        <v>73</v>
      </c>
    </row>
    <row r="39" spans="1:33" ht="6" customHeight="1" x14ac:dyDescent="0.25">
      <c r="B39" s="15"/>
      <c r="C39" s="12"/>
      <c r="D39" s="12"/>
      <c r="E39" s="12"/>
      <c r="F39" s="19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24"/>
      <c r="T39" s="24"/>
      <c r="U39" s="24"/>
      <c r="V39" s="24"/>
      <c r="W39" s="24"/>
      <c r="X39" s="24"/>
      <c r="Y39" s="12"/>
      <c r="Z39" s="12"/>
      <c r="AA39" s="12"/>
      <c r="AB39" s="12"/>
      <c r="AC39" s="12"/>
      <c r="AD39" s="12"/>
      <c r="AE39" s="12"/>
      <c r="AG39" s="27"/>
    </row>
    <row r="40" spans="1:33" x14ac:dyDescent="0.25">
      <c r="B40" s="16"/>
      <c r="C40" s="20"/>
      <c r="D40" s="17"/>
      <c r="E40" s="20"/>
      <c r="F40" s="17"/>
      <c r="G40" s="17"/>
      <c r="H40" s="17"/>
      <c r="I40" s="17"/>
      <c r="J40" s="17"/>
      <c r="K40" s="17"/>
      <c r="L40" s="17"/>
      <c r="M40" s="17"/>
      <c r="N40" s="20"/>
      <c r="O40" s="20"/>
      <c r="P40" s="20"/>
      <c r="Q40" s="20"/>
      <c r="R40" s="20"/>
      <c r="S40" s="25"/>
      <c r="T40" s="25"/>
      <c r="U40" s="25"/>
      <c r="V40" s="25"/>
      <c r="W40" s="25"/>
      <c r="X40" s="25"/>
      <c r="Y40" s="20"/>
      <c r="Z40" s="20"/>
      <c r="AA40" s="20"/>
      <c r="AB40" s="20"/>
      <c r="AC40" s="20"/>
      <c r="AD40" s="20"/>
      <c r="AE40" s="20"/>
      <c r="AG40" s="27"/>
    </row>
    <row r="41" spans="1:33" ht="6" customHeight="1" x14ac:dyDescent="0.25">
      <c r="B41" s="1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23"/>
      <c r="T41" s="23"/>
      <c r="U41" s="23"/>
      <c r="V41" s="23"/>
      <c r="W41" s="23"/>
      <c r="X41" s="23"/>
      <c r="Y41" s="11"/>
      <c r="Z41" s="11"/>
      <c r="AA41" s="11"/>
      <c r="AB41" s="11"/>
      <c r="AC41" s="11"/>
      <c r="AD41" s="11"/>
      <c r="AE41" s="11"/>
      <c r="AG41" s="27"/>
    </row>
    <row r="42" spans="1:33" x14ac:dyDescent="0.25">
      <c r="B42" s="10"/>
      <c r="E42" s="10"/>
      <c r="N42" s="10"/>
      <c r="O42" s="10"/>
      <c r="P42" s="10"/>
      <c r="Q42" s="10"/>
      <c r="R42" s="10"/>
      <c r="S42" s="6"/>
      <c r="T42" s="6"/>
      <c r="U42" s="6"/>
      <c r="V42" s="6"/>
      <c r="W42" s="6"/>
      <c r="X42" s="6"/>
      <c r="Y42" s="10"/>
      <c r="Z42" s="10"/>
      <c r="AA42" s="10"/>
      <c r="AB42" s="10"/>
      <c r="AD42" s="10"/>
      <c r="AE42" s="10"/>
      <c r="AG42" s="27"/>
    </row>
    <row r="43" spans="1:33" x14ac:dyDescent="0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8"/>
      <c r="T43" s="8"/>
      <c r="U43" s="8"/>
      <c r="V43" s="8"/>
      <c r="W43" s="8"/>
      <c r="X43" s="8"/>
      <c r="Y43" s="18"/>
      <c r="Z43" s="18"/>
      <c r="AA43" s="18"/>
      <c r="AB43" s="18"/>
      <c r="AC43" s="18"/>
      <c r="AD43" s="18"/>
      <c r="AE43" s="18"/>
      <c r="AG43" s="27"/>
    </row>
    <row r="44" spans="1:33" x14ac:dyDescent="0.25">
      <c r="E44" s="10"/>
      <c r="N44" s="10"/>
      <c r="O44" s="10"/>
      <c r="P44" s="10"/>
      <c r="Q44" s="10"/>
      <c r="R44" s="10"/>
      <c r="S44" s="6"/>
      <c r="T44" s="6"/>
      <c r="U44" s="6"/>
      <c r="V44" s="6"/>
      <c r="W44" s="6"/>
      <c r="X44" s="6"/>
      <c r="Y44" s="10"/>
      <c r="Z44" s="10"/>
      <c r="AA44" s="10"/>
      <c r="AB44" s="10"/>
      <c r="AD44" s="10"/>
      <c r="AE44" s="10"/>
      <c r="AG44" s="27"/>
    </row>
    <row r="45" spans="1:33" x14ac:dyDescent="0.25">
      <c r="E45" s="10"/>
      <c r="N45" s="10"/>
      <c r="O45" s="10"/>
      <c r="P45" s="10"/>
      <c r="Q45" s="10"/>
      <c r="R45" s="10"/>
      <c r="S45" s="6"/>
      <c r="T45" s="6"/>
      <c r="U45" s="6"/>
      <c r="V45" s="6"/>
      <c r="W45" s="6"/>
      <c r="X45" s="6"/>
      <c r="Y45" s="10"/>
      <c r="Z45" s="10"/>
      <c r="AA45" s="10"/>
      <c r="AB45" s="10"/>
      <c r="AD45" s="10"/>
      <c r="AE45" s="10"/>
      <c r="AG45" s="27"/>
    </row>
    <row r="46" spans="1:33" x14ac:dyDescent="0.25">
      <c r="E46" s="10"/>
      <c r="N46" s="10"/>
      <c r="O46" s="10"/>
      <c r="P46" s="10"/>
      <c r="Q46" s="10"/>
      <c r="R46" s="10"/>
      <c r="S46" s="6"/>
      <c r="T46" s="6"/>
      <c r="U46" s="6"/>
      <c r="V46" s="6"/>
      <c r="W46" s="6"/>
      <c r="X46" s="6"/>
      <c r="Y46" s="10"/>
      <c r="Z46" s="10"/>
      <c r="AA46" s="10"/>
      <c r="AB46" s="10"/>
      <c r="AD46" s="10"/>
      <c r="AE46" s="10"/>
      <c r="AG46" s="27"/>
    </row>
    <row r="47" spans="1:33" x14ac:dyDescent="0.25">
      <c r="E47" s="10"/>
      <c r="N47" s="10"/>
      <c r="O47" s="10"/>
      <c r="P47" s="10"/>
      <c r="Q47" s="10"/>
      <c r="R47" s="10"/>
      <c r="S47" s="6"/>
      <c r="T47" s="6"/>
      <c r="U47" s="6"/>
      <c r="V47" s="6"/>
      <c r="W47" s="6"/>
      <c r="X47" s="6"/>
      <c r="Y47" s="10"/>
      <c r="Z47" s="10"/>
      <c r="AA47" s="10"/>
      <c r="AB47" s="10"/>
      <c r="AD47" s="10"/>
      <c r="AE47" s="10"/>
      <c r="AG47" s="27"/>
    </row>
    <row r="48" spans="1:33" x14ac:dyDescent="0.25">
      <c r="AG48" s="27"/>
    </row>
    <row r="49" spans="33:33" x14ac:dyDescent="0.25">
      <c r="AG49" s="27"/>
    </row>
    <row r="50" spans="33:33" x14ac:dyDescent="0.25">
      <c r="AG50" s="27"/>
    </row>
    <row r="51" spans="33:33" x14ac:dyDescent="0.25">
      <c r="AG51" s="27"/>
    </row>
    <row r="52" spans="33:33" x14ac:dyDescent="0.25">
      <c r="AG52" s="27"/>
    </row>
    <row r="53" spans="33:33" x14ac:dyDescent="0.25">
      <c r="AG53" s="27"/>
    </row>
    <row r="54" spans="33:33" x14ac:dyDescent="0.25">
      <c r="AG54" s="27"/>
    </row>
    <row r="55" spans="33:33" x14ac:dyDescent="0.25">
      <c r="AG55" s="27"/>
    </row>
    <row r="56" spans="33:33" x14ac:dyDescent="0.25">
      <c r="AG56" s="27"/>
    </row>
    <row r="57" spans="33:33" x14ac:dyDescent="0.25">
      <c r="AG57" s="27"/>
    </row>
    <row r="58" spans="33:33" x14ac:dyDescent="0.25">
      <c r="AG58" s="27"/>
    </row>
    <row r="59" spans="33:33" x14ac:dyDescent="0.25">
      <c r="AG59" s="27"/>
    </row>
    <row r="60" spans="33:33" x14ac:dyDescent="0.25">
      <c r="AG60" s="27"/>
    </row>
  </sheetData>
  <mergeCells count="1">
    <mergeCell ref="B1:C1"/>
  </mergeCells>
  <conditionalFormatting sqref="S5:Y5 AA5:AB5">
    <cfRule type="cellIs" dxfId="7" priority="8" operator="lessThan">
      <formula>0</formula>
    </cfRule>
  </conditionalFormatting>
  <conditionalFormatting sqref="S38:Y38 AA38:AB38">
    <cfRule type="cellIs" dxfId="6" priority="7" operator="lessThan">
      <formula>0</formula>
    </cfRule>
  </conditionalFormatting>
  <conditionalFormatting sqref="S17:Y17 AA17:AB17 AA34:AB35 S34:Y35 AA31:AB31 S31:Y31 AA28:AB28 S28:Y28 AA24:AB24 S24:Y24">
    <cfRule type="cellIs" dxfId="5" priority="6" operator="lessThan">
      <formula>0</formula>
    </cfRule>
  </conditionalFormatting>
  <conditionalFormatting sqref="S6:Y16 AA6:AB16">
    <cfRule type="cellIs" dxfId="4" priority="5" operator="lessThan">
      <formula>0</formula>
    </cfRule>
  </conditionalFormatting>
  <conditionalFormatting sqref="S32:Y33 AA32:AB33">
    <cfRule type="cellIs" dxfId="3" priority="4" operator="lessThan">
      <formula>0</formula>
    </cfRule>
  </conditionalFormatting>
  <conditionalFormatting sqref="S29:Y30 AA29:AB30">
    <cfRule type="cellIs" dxfId="2" priority="3" operator="lessThan">
      <formula>0</formula>
    </cfRule>
  </conditionalFormatting>
  <conditionalFormatting sqref="S25:Y27 AA25:AB27">
    <cfRule type="cellIs" dxfId="1" priority="2" operator="lessThan">
      <formula>0</formula>
    </cfRule>
  </conditionalFormatting>
  <conditionalFormatting sqref="S18:Y23 AA18:AB23">
    <cfRule type="cellIs" dxfId="0" priority="1" operator="lessThan">
      <formula>0</formula>
    </cfRule>
  </conditionalFormatting>
  <pageMargins left="0.25" right="0.25" top="0.5" bottom="0.5" header="0" footer="0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DB8EB-0EBC-4AD2-ADB3-09838DEA6592}">
  <dimension ref="A1:H39"/>
  <sheetViews>
    <sheetView workbookViewId="0">
      <selection activeCell="I8" sqref="I8"/>
    </sheetView>
  </sheetViews>
  <sheetFormatPr defaultRowHeight="15" x14ac:dyDescent="0.25"/>
  <cols>
    <col min="3" max="3" width="10" customWidth="1"/>
  </cols>
  <sheetData>
    <row r="1" spans="1:8" x14ac:dyDescent="0.25">
      <c r="A1" s="27"/>
      <c r="B1" s="37" t="s">
        <v>25</v>
      </c>
      <c r="C1" s="37" t="s">
        <v>26</v>
      </c>
      <c r="D1" s="37" t="s">
        <v>27</v>
      </c>
      <c r="E1" s="27"/>
      <c r="F1" s="27"/>
      <c r="G1" s="27"/>
      <c r="H1" s="27"/>
    </row>
    <row r="2" spans="1:8" x14ac:dyDescent="0.25">
      <c r="A2" s="27" t="s">
        <v>33</v>
      </c>
      <c r="B2" s="28" t="s">
        <v>34</v>
      </c>
      <c r="C2" s="28" t="s">
        <v>34</v>
      </c>
      <c r="D2" s="28" t="s">
        <v>34</v>
      </c>
      <c r="E2" s="27"/>
      <c r="F2" s="27"/>
      <c r="G2" s="27"/>
      <c r="H2" s="27"/>
    </row>
    <row r="3" spans="1:8" x14ac:dyDescent="0.25">
      <c r="A3" s="27" t="s">
        <v>35</v>
      </c>
      <c r="B3" s="28" t="s">
        <v>36</v>
      </c>
      <c r="C3" s="28" t="s">
        <v>34</v>
      </c>
      <c r="D3" s="28" t="s">
        <v>34</v>
      </c>
      <c r="E3" s="27"/>
      <c r="F3" s="27"/>
      <c r="G3" s="27"/>
      <c r="H3" s="27"/>
    </row>
    <row r="4" spans="1:8" x14ac:dyDescent="0.25">
      <c r="A4" s="27" t="s">
        <v>37</v>
      </c>
      <c r="B4" s="28" t="s">
        <v>34</v>
      </c>
      <c r="C4" s="28" t="s">
        <v>34</v>
      </c>
      <c r="D4" s="28" t="s">
        <v>34</v>
      </c>
      <c r="E4" s="27"/>
      <c r="F4" s="27"/>
      <c r="G4" s="27"/>
      <c r="H4" s="27"/>
    </row>
    <row r="5" spans="1:8" x14ac:dyDescent="0.25">
      <c r="A5" s="27" t="s">
        <v>38</v>
      </c>
      <c r="B5" s="28" t="s">
        <v>34</v>
      </c>
      <c r="C5" s="28" t="s">
        <v>36</v>
      </c>
      <c r="D5" s="28" t="s">
        <v>34</v>
      </c>
      <c r="E5" s="27"/>
      <c r="F5" s="27"/>
      <c r="G5" s="27"/>
      <c r="H5" s="27"/>
    </row>
    <row r="6" spans="1:8" x14ac:dyDescent="0.25">
      <c r="A6" s="27" t="s">
        <v>39</v>
      </c>
      <c r="B6" s="28" t="s">
        <v>36</v>
      </c>
      <c r="C6" s="28" t="s">
        <v>34</v>
      </c>
      <c r="D6" s="28" t="s">
        <v>34</v>
      </c>
      <c r="E6" s="27"/>
      <c r="F6" s="27"/>
      <c r="G6" s="27"/>
      <c r="H6" s="27"/>
    </row>
    <row r="7" spans="1:8" x14ac:dyDescent="0.25">
      <c r="A7" s="27" t="s">
        <v>40</v>
      </c>
      <c r="B7" s="28" t="s">
        <v>34</v>
      </c>
      <c r="C7" s="28" t="s">
        <v>36</v>
      </c>
      <c r="D7" s="28" t="s">
        <v>34</v>
      </c>
      <c r="E7" s="27"/>
      <c r="F7" s="27"/>
      <c r="G7" s="27"/>
      <c r="H7" s="27"/>
    </row>
    <row r="8" spans="1:8" x14ac:dyDescent="0.25">
      <c r="A8" s="27" t="s">
        <v>41</v>
      </c>
      <c r="B8" s="28" t="s">
        <v>34</v>
      </c>
      <c r="C8" s="28" t="s">
        <v>36</v>
      </c>
      <c r="D8" s="28" t="s">
        <v>34</v>
      </c>
      <c r="E8" s="27"/>
      <c r="F8" s="27"/>
      <c r="G8" s="27"/>
      <c r="H8" s="27"/>
    </row>
    <row r="9" spans="1:8" x14ac:dyDescent="0.25">
      <c r="A9" s="27" t="s">
        <v>42</v>
      </c>
      <c r="B9" s="28" t="s">
        <v>36</v>
      </c>
      <c r="C9" s="28" t="s">
        <v>34</v>
      </c>
      <c r="D9" s="28" t="s">
        <v>34</v>
      </c>
      <c r="E9" s="27"/>
      <c r="F9" s="27"/>
      <c r="G9" s="27"/>
      <c r="H9" s="27"/>
    </row>
    <row r="10" spans="1:8" x14ac:dyDescent="0.25">
      <c r="A10" s="27" t="s">
        <v>43</v>
      </c>
      <c r="B10" s="28" t="s">
        <v>34</v>
      </c>
      <c r="C10" s="28" t="s">
        <v>34</v>
      </c>
      <c r="D10" s="28" t="s">
        <v>34</v>
      </c>
      <c r="E10" s="27"/>
      <c r="F10" s="27"/>
      <c r="G10" s="27"/>
      <c r="H10" s="27"/>
    </row>
    <row r="11" spans="1:8" x14ac:dyDescent="0.25">
      <c r="A11" s="27" t="s">
        <v>44</v>
      </c>
      <c r="B11" s="28" t="s">
        <v>34</v>
      </c>
      <c r="C11" s="28" t="s">
        <v>36</v>
      </c>
      <c r="D11" s="28" t="s">
        <v>34</v>
      </c>
      <c r="E11" s="27"/>
      <c r="F11" s="27"/>
      <c r="G11" s="27"/>
      <c r="H11" s="27"/>
    </row>
    <row r="12" spans="1:8" x14ac:dyDescent="0.25">
      <c r="A12" s="27" t="s">
        <v>45</v>
      </c>
      <c r="B12" s="28" t="s">
        <v>36</v>
      </c>
      <c r="C12" s="28" t="s">
        <v>36</v>
      </c>
      <c r="D12" s="28" t="s">
        <v>34</v>
      </c>
      <c r="E12" s="27"/>
      <c r="F12" s="27"/>
      <c r="G12" s="27"/>
      <c r="H12" s="27"/>
    </row>
    <row r="13" spans="1:8" x14ac:dyDescent="0.25">
      <c r="A13" s="27" t="s">
        <v>46</v>
      </c>
      <c r="B13" s="28" t="s">
        <v>36</v>
      </c>
      <c r="C13" s="28" t="s">
        <v>34</v>
      </c>
      <c r="D13" s="28" t="s">
        <v>34</v>
      </c>
      <c r="E13" s="27"/>
      <c r="F13" s="27"/>
      <c r="G13" s="27"/>
      <c r="H13" s="27"/>
    </row>
    <row r="14" spans="1:8" x14ac:dyDescent="0.25">
      <c r="A14" s="27" t="s">
        <v>47</v>
      </c>
      <c r="B14" s="28" t="s">
        <v>34</v>
      </c>
      <c r="C14" s="28" t="s">
        <v>36</v>
      </c>
      <c r="D14" s="28" t="s">
        <v>34</v>
      </c>
      <c r="E14" s="27"/>
      <c r="F14" s="27"/>
      <c r="G14" s="27"/>
      <c r="H14" s="27"/>
    </row>
    <row r="15" spans="1:8" x14ac:dyDescent="0.25">
      <c r="A15" s="27" t="s">
        <v>48</v>
      </c>
      <c r="B15" s="28" t="s">
        <v>34</v>
      </c>
      <c r="C15" s="28" t="s">
        <v>36</v>
      </c>
      <c r="D15" s="28" t="s">
        <v>34</v>
      </c>
      <c r="E15" s="27"/>
      <c r="F15" s="27"/>
      <c r="G15" s="27"/>
      <c r="H15" s="27"/>
    </row>
    <row r="16" spans="1:8" x14ac:dyDescent="0.25">
      <c r="A16" s="27" t="s">
        <v>49</v>
      </c>
      <c r="B16" s="28" t="s">
        <v>34</v>
      </c>
      <c r="C16" s="28" t="s">
        <v>36</v>
      </c>
      <c r="D16" s="28" t="s">
        <v>34</v>
      </c>
      <c r="E16" s="27"/>
      <c r="F16" s="27"/>
      <c r="G16" s="27"/>
      <c r="H16" s="27"/>
    </row>
    <row r="17" spans="1:8" x14ac:dyDescent="0.25">
      <c r="A17" s="27" t="s">
        <v>50</v>
      </c>
      <c r="B17" s="28" t="s">
        <v>34</v>
      </c>
      <c r="C17" s="28" t="s">
        <v>36</v>
      </c>
      <c r="D17" s="28" t="s">
        <v>34</v>
      </c>
      <c r="E17" s="27"/>
      <c r="F17" s="27"/>
      <c r="G17" s="27"/>
      <c r="H17" s="27"/>
    </row>
    <row r="18" spans="1:8" x14ac:dyDescent="0.25">
      <c r="A18" s="27" t="s">
        <v>51</v>
      </c>
      <c r="B18" s="28" t="s">
        <v>36</v>
      </c>
      <c r="C18" s="28" t="s">
        <v>34</v>
      </c>
      <c r="D18" s="28" t="s">
        <v>36</v>
      </c>
      <c r="E18" s="27"/>
      <c r="F18" s="27"/>
      <c r="G18" s="27"/>
      <c r="H18" s="27"/>
    </row>
    <row r="19" spans="1:8" x14ac:dyDescent="0.25">
      <c r="A19" s="27" t="s">
        <v>52</v>
      </c>
      <c r="B19" s="28" t="s">
        <v>34</v>
      </c>
      <c r="C19" s="28" t="s">
        <v>36</v>
      </c>
      <c r="D19" s="28" t="s">
        <v>36</v>
      </c>
      <c r="E19" s="27"/>
      <c r="F19" s="27"/>
      <c r="G19" s="27"/>
      <c r="H19" s="27"/>
    </row>
    <row r="20" spans="1:8" x14ac:dyDescent="0.25">
      <c r="A20" s="27" t="s">
        <v>53</v>
      </c>
      <c r="B20" s="28" t="s">
        <v>34</v>
      </c>
      <c r="C20" s="28" t="s">
        <v>34</v>
      </c>
      <c r="D20" s="28" t="s">
        <v>34</v>
      </c>
      <c r="E20" s="27"/>
      <c r="F20" s="27"/>
      <c r="G20" s="27"/>
      <c r="H20" s="27"/>
    </row>
    <row r="21" spans="1:8" x14ac:dyDescent="0.25">
      <c r="A21" s="27" t="s">
        <v>54</v>
      </c>
      <c r="B21" s="28" t="s">
        <v>34</v>
      </c>
      <c r="C21" s="28" t="s">
        <v>36</v>
      </c>
      <c r="D21" s="28" t="s">
        <v>36</v>
      </c>
      <c r="E21" s="27"/>
      <c r="F21" s="27"/>
      <c r="G21" s="27"/>
      <c r="H21" s="27"/>
    </row>
    <row r="22" spans="1:8" x14ac:dyDescent="0.25">
      <c r="A22" s="27" t="s">
        <v>55</v>
      </c>
      <c r="B22" s="28" t="s">
        <v>34</v>
      </c>
      <c r="C22" s="28" t="s">
        <v>36</v>
      </c>
      <c r="D22" s="28" t="s">
        <v>34</v>
      </c>
      <c r="E22" s="27"/>
      <c r="F22" s="27"/>
      <c r="G22" s="27"/>
      <c r="H22" s="27"/>
    </row>
    <row r="23" spans="1:8" x14ac:dyDescent="0.25">
      <c r="A23" s="27" t="s">
        <v>56</v>
      </c>
      <c r="B23" s="28" t="s">
        <v>36</v>
      </c>
      <c r="C23" s="28" t="s">
        <v>34</v>
      </c>
      <c r="D23" s="28" t="s">
        <v>36</v>
      </c>
      <c r="E23" s="27"/>
      <c r="F23" s="27"/>
      <c r="G23" s="27"/>
      <c r="H23" s="27"/>
    </row>
    <row r="24" spans="1:8" x14ac:dyDescent="0.25">
      <c r="A24" s="27" t="s">
        <v>57</v>
      </c>
      <c r="B24" s="28" t="s">
        <v>34</v>
      </c>
      <c r="C24" s="28" t="s">
        <v>34</v>
      </c>
      <c r="D24" s="28" t="s">
        <v>34</v>
      </c>
      <c r="E24" s="27"/>
      <c r="F24" s="27"/>
      <c r="G24" s="27"/>
      <c r="H24" s="27"/>
    </row>
    <row r="25" spans="1:8" x14ac:dyDescent="0.25">
      <c r="A25" s="27" t="s">
        <v>58</v>
      </c>
      <c r="B25" s="28" t="s">
        <v>34</v>
      </c>
      <c r="C25" s="28" t="s">
        <v>36</v>
      </c>
      <c r="D25" s="28" t="s">
        <v>34</v>
      </c>
      <c r="E25" s="27"/>
      <c r="F25" s="27"/>
      <c r="G25" s="27"/>
      <c r="H25" s="27"/>
    </row>
    <row r="26" spans="1:8" x14ac:dyDescent="0.25">
      <c r="A26" s="27" t="s">
        <v>59</v>
      </c>
      <c r="B26" s="28" t="s">
        <v>34</v>
      </c>
      <c r="C26" s="28" t="s">
        <v>34</v>
      </c>
      <c r="D26" s="28" t="s">
        <v>34</v>
      </c>
      <c r="E26" s="27"/>
      <c r="F26" s="27"/>
      <c r="G26" s="27"/>
      <c r="H26" s="27"/>
    </row>
    <row r="27" spans="1:8" x14ac:dyDescent="0.25">
      <c r="A27" s="27" t="s">
        <v>60</v>
      </c>
      <c r="B27" s="28" t="s">
        <v>34</v>
      </c>
      <c r="C27" s="28" t="s">
        <v>36</v>
      </c>
      <c r="D27" s="28" t="s">
        <v>34</v>
      </c>
      <c r="E27" s="27"/>
      <c r="F27" s="27"/>
      <c r="G27" s="27"/>
      <c r="H27" s="27"/>
    </row>
    <row r="28" spans="1:8" x14ac:dyDescent="0.25">
      <c r="A28" s="27" t="s">
        <v>61</v>
      </c>
      <c r="B28" s="28" t="s">
        <v>34</v>
      </c>
      <c r="C28" s="28" t="s">
        <v>34</v>
      </c>
      <c r="D28" s="28" t="s">
        <v>34</v>
      </c>
      <c r="E28" s="27"/>
      <c r="F28" s="27"/>
      <c r="G28" s="27"/>
      <c r="H28" s="27"/>
    </row>
    <row r="29" spans="1:8" x14ac:dyDescent="0.25">
      <c r="A29" s="27" t="s">
        <v>62</v>
      </c>
      <c r="B29" s="28" t="s">
        <v>36</v>
      </c>
      <c r="C29" s="28" t="s">
        <v>34</v>
      </c>
      <c r="D29" s="28" t="s">
        <v>34</v>
      </c>
      <c r="E29" s="27"/>
      <c r="F29" s="27"/>
      <c r="G29" s="27"/>
      <c r="H29" s="27"/>
    </row>
    <row r="30" spans="1:8" x14ac:dyDescent="0.25">
      <c r="A30" s="27" t="s">
        <v>63</v>
      </c>
      <c r="B30" s="28" t="s">
        <v>36</v>
      </c>
      <c r="C30" s="28" t="s">
        <v>34</v>
      </c>
      <c r="D30" s="28" t="s">
        <v>36</v>
      </c>
      <c r="E30" s="27"/>
      <c r="F30" s="27"/>
      <c r="G30" s="27"/>
      <c r="H30" s="27"/>
    </row>
    <row r="31" spans="1:8" x14ac:dyDescent="0.25">
      <c r="A31" s="27" t="s">
        <v>64</v>
      </c>
      <c r="B31" s="28" t="s">
        <v>34</v>
      </c>
      <c r="C31" s="28" t="s">
        <v>36</v>
      </c>
      <c r="D31" s="28" t="s">
        <v>34</v>
      </c>
      <c r="E31" s="27"/>
      <c r="F31" s="27"/>
      <c r="G31" s="27"/>
      <c r="H31" s="27"/>
    </row>
    <row r="32" spans="1:8" x14ac:dyDescent="0.25">
      <c r="A32" s="27" t="s">
        <v>65</v>
      </c>
      <c r="B32" s="28" t="s">
        <v>34</v>
      </c>
      <c r="C32" s="28" t="s">
        <v>36</v>
      </c>
      <c r="D32" s="28" t="s">
        <v>34</v>
      </c>
      <c r="E32" s="27"/>
      <c r="F32" s="27"/>
      <c r="G32" s="27"/>
      <c r="H32" s="27"/>
    </row>
    <row r="33" spans="1:8" x14ac:dyDescent="0.25">
      <c r="A33" s="27" t="s">
        <v>66</v>
      </c>
      <c r="B33" s="28" t="s">
        <v>34</v>
      </c>
      <c r="C33" s="28" t="s">
        <v>34</v>
      </c>
      <c r="D33" s="28" t="s">
        <v>34</v>
      </c>
      <c r="E33" s="27"/>
      <c r="F33" s="27"/>
      <c r="G33" s="27"/>
      <c r="H33" s="27"/>
    </row>
    <row r="34" spans="1:8" x14ac:dyDescent="0.25">
      <c r="A34" s="27" t="s">
        <v>67</v>
      </c>
      <c r="B34" s="28" t="s">
        <v>36</v>
      </c>
      <c r="C34" s="28" t="s">
        <v>34</v>
      </c>
      <c r="D34" s="28" t="s">
        <v>34</v>
      </c>
      <c r="E34" s="27"/>
      <c r="F34" s="27"/>
      <c r="G34" s="27"/>
      <c r="H34" s="27"/>
    </row>
    <row r="35" spans="1:8" x14ac:dyDescent="0.25">
      <c r="A35" s="27" t="s">
        <v>68</v>
      </c>
      <c r="B35" s="28" t="s">
        <v>36</v>
      </c>
      <c r="C35" s="28" t="s">
        <v>34</v>
      </c>
      <c r="D35" s="28" t="s">
        <v>36</v>
      </c>
      <c r="E35" s="27"/>
      <c r="F35" s="27"/>
      <c r="G35" s="27"/>
      <c r="H35" s="27"/>
    </row>
    <row r="36" spans="1:8" x14ac:dyDescent="0.25">
      <c r="A36" s="27" t="s">
        <v>69</v>
      </c>
      <c r="B36" s="28" t="s">
        <v>34</v>
      </c>
      <c r="C36" s="28" t="s">
        <v>34</v>
      </c>
      <c r="D36" s="28" t="s">
        <v>34</v>
      </c>
      <c r="E36" s="27"/>
      <c r="F36" s="27"/>
      <c r="G36" s="27"/>
      <c r="H36" s="27"/>
    </row>
    <row r="37" spans="1:8" x14ac:dyDescent="0.25">
      <c r="A37" s="27" t="s">
        <v>70</v>
      </c>
      <c r="B37" s="28" t="s">
        <v>34</v>
      </c>
      <c r="C37" s="28" t="s">
        <v>36</v>
      </c>
      <c r="D37" s="28" t="s">
        <v>34</v>
      </c>
      <c r="E37" s="27"/>
      <c r="F37" s="27"/>
      <c r="G37" s="27"/>
      <c r="H37" s="27"/>
    </row>
    <row r="38" spans="1:8" x14ac:dyDescent="0.25">
      <c r="A38" s="27"/>
      <c r="B38" s="27"/>
      <c r="C38" s="27"/>
      <c r="D38" s="27"/>
      <c r="E38" s="27"/>
      <c r="F38" s="27"/>
      <c r="G38" s="27"/>
      <c r="H38" s="27"/>
    </row>
    <row r="39" spans="1:8" x14ac:dyDescent="0.25">
      <c r="A39" s="27"/>
      <c r="B39" s="27"/>
      <c r="C39" s="27"/>
      <c r="D39" s="27"/>
      <c r="E39" s="27"/>
      <c r="F39" s="27"/>
      <c r="G39" s="27"/>
      <c r="H39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Specs</vt:lpstr>
      <vt:lpstr>Sheet1</vt:lpstr>
      <vt:lpstr>Specs!Print_Area</vt:lpstr>
      <vt:lpstr>Specs!Print_Titles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Michas</dc:creator>
  <cp:lastModifiedBy>Konstantine Sukhovarov</cp:lastModifiedBy>
  <cp:lastPrinted>2018-10-31T17:06:32Z</cp:lastPrinted>
  <dcterms:created xsi:type="dcterms:W3CDTF">2013-07-04T16:52:36Z</dcterms:created>
  <dcterms:modified xsi:type="dcterms:W3CDTF">2018-12-07T19:15:12Z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esign Mode Active">
    <vt:bool>false</vt:bool>
  </property>
  <property fmtid="{D5CDD505-2E9C-101B-9397-08002B2CF9AE}" pid="3" name="Jet Reports Function Literals">
    <vt:lpwstr>,	;	,	{	}	[@[{0}]]	1033</vt:lpwstr>
  </property>
</Properties>
</file>