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AppData\Local\Microsoft\Windows\INetCache\Content.Outlook\FNBZCWV8\"/>
    </mc:Choice>
  </mc:AlternateContent>
  <xr:revisionPtr revIDLastSave="0" documentId="13_ncr:1_{3CB096DA-E319-48C0-BA74-5FC321932EC2}" xr6:coauthVersionLast="37" xr6:coauthVersionMax="37" xr10:uidLastSave="{00000000-0000-0000-0000-000000000000}"/>
  <bookViews>
    <workbookView xWindow="0" yWindow="0" windowWidth="26460" windowHeight="12675" xr2:uid="{00000000-000D-0000-FFFF-FFFF00000000}"/>
  </bookViews>
  <sheets>
    <sheet name="Indiv Wines (3)" sheetId="99" r:id="rId1"/>
  </sheets>
  <definedNames>
    <definedName name="_xlnm._FilterDatabase" localSheetId="0" hidden="1">'Indiv Wines (3)'!#REF!</definedName>
    <definedName name="_xlnm.Print_Area" localSheetId="0">'Indiv Wines (3)'!$A$1:$W$25</definedName>
    <definedName name="_xlnm.Print_Titles" localSheetId="0">'Indiv Wines (3)'!$2:$2</definedName>
  </definedNames>
  <calcPr calcId="162913"/>
</workbook>
</file>

<file path=xl/calcChain.xml><?xml version="1.0" encoding="utf-8"?>
<calcChain xmlns="http://schemas.openxmlformats.org/spreadsheetml/2006/main">
  <c r="W14" i="99" l="1"/>
  <c r="R14" i="99"/>
  <c r="V14" i="99"/>
  <c r="G14" i="99"/>
  <c r="H14" i="99"/>
  <c r="W21" i="99" l="1"/>
  <c r="R21" i="99"/>
  <c r="V21" i="99"/>
  <c r="G21" i="99"/>
  <c r="H21" i="99"/>
  <c r="W23" i="99" l="1"/>
  <c r="R23" i="99"/>
  <c r="V23" i="99"/>
  <c r="H23" i="99"/>
  <c r="G23" i="99"/>
  <c r="H6" i="99"/>
  <c r="H7" i="99"/>
  <c r="E5" i="99"/>
  <c r="E6" i="99"/>
  <c r="E7" i="99"/>
  <c r="E8" i="99"/>
  <c r="B5" i="99"/>
  <c r="B6" i="99"/>
  <c r="B7" i="99"/>
  <c r="B8" i="99"/>
  <c r="A5" i="99"/>
  <c r="A6" i="99"/>
  <c r="A7" i="99"/>
  <c r="A8" i="99"/>
  <c r="J5" i="99"/>
  <c r="J6" i="99"/>
  <c r="J7" i="99"/>
  <c r="J8" i="99"/>
  <c r="I5" i="99"/>
  <c r="I6" i="99"/>
  <c r="G6" i="99" s="1"/>
  <c r="I7" i="99"/>
  <c r="I8" i="99"/>
  <c r="G8" i="99" s="1"/>
  <c r="W8" i="99"/>
  <c r="V8" i="99"/>
  <c r="R8" i="99"/>
  <c r="H8" i="99"/>
  <c r="W7" i="99"/>
  <c r="V7" i="99"/>
  <c r="R7" i="99"/>
  <c r="G7" i="99"/>
  <c r="W6" i="99"/>
  <c r="V6" i="99"/>
  <c r="R6" i="99"/>
  <c r="A12" i="99" l="1"/>
  <c r="A18" i="99"/>
  <c r="V13" i="99" l="1"/>
  <c r="W13" i="99"/>
  <c r="R13" i="99"/>
  <c r="G13" i="99"/>
  <c r="H13" i="99"/>
  <c r="V5" i="99"/>
  <c r="W5" i="99"/>
  <c r="R5" i="99"/>
  <c r="G5" i="99"/>
  <c r="H5" i="99"/>
  <c r="V10" i="99" l="1"/>
  <c r="W10" i="99"/>
  <c r="R10" i="99"/>
  <c r="V15" i="99"/>
  <c r="W15" i="99"/>
  <c r="R15" i="99"/>
  <c r="V9" i="99"/>
  <c r="R9" i="99"/>
  <c r="W9" i="99"/>
  <c r="G10" i="99"/>
  <c r="G15" i="99"/>
  <c r="G9" i="99"/>
  <c r="H10" i="99"/>
  <c r="H15" i="99"/>
  <c r="H9" i="99"/>
  <c r="V19" i="99"/>
  <c r="R19" i="99"/>
  <c r="W19" i="99"/>
  <c r="G19" i="99"/>
  <c r="H19" i="99"/>
  <c r="V20" i="99" l="1"/>
  <c r="R20" i="99"/>
  <c r="W20" i="99"/>
  <c r="V16" i="99"/>
  <c r="W16" i="99"/>
  <c r="R16" i="99"/>
  <c r="G20" i="99"/>
  <c r="G16" i="99"/>
  <c r="H20" i="99"/>
  <c r="H16" i="99"/>
  <c r="V22" i="99" l="1"/>
  <c r="W22" i="99"/>
  <c r="R22" i="99"/>
  <c r="G22" i="99"/>
  <c r="H22" i="99"/>
</calcChain>
</file>

<file path=xl/sharedStrings.xml><?xml version="1.0" encoding="utf-8"?>
<sst xmlns="http://schemas.openxmlformats.org/spreadsheetml/2006/main" count="81" uniqueCount="55">
  <si>
    <t>Wine</t>
  </si>
  <si>
    <t>Vintage</t>
  </si>
  <si>
    <t>Brand</t>
  </si>
  <si>
    <t>Cases/
Pallet</t>
  </si>
  <si>
    <t>UPC/EAN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</si>
  <si>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</si>
  <si>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</si>
  <si>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</si>
  <si>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</si>
  <si>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</si>
  <si>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</si>
  <si>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</si>
  <si>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Bottle Weight (lbs.)</t>
  </si>
  <si>
    <t>Bottle Height (in.)</t>
  </si>
  <si>
    <t>Case Length (in.)</t>
  </si>
  <si>
    <t>Case Width   (in.)</t>
  </si>
  <si>
    <t>Case Height (in.)</t>
  </si>
  <si>
    <t>Pallet Height (in.)</t>
  </si>
  <si>
    <t>Case SCC
(Actual)</t>
  </si>
  <si>
    <t>Gift Box</t>
  </si>
  <si>
    <t>2017</t>
  </si>
  <si>
    <t>2016</t>
  </si>
  <si>
    <t>2014</t>
  </si>
  <si>
    <t>2015</t>
  </si>
  <si>
    <t>Masciarelli</t>
  </si>
  <si>
    <t>LINEA CLASSICA</t>
  </si>
  <si>
    <t>2011</t>
  </si>
  <si>
    <t>Marina Cvetic Montepulciano d’Abruzzo Riserva</t>
  </si>
  <si>
    <t>Marina Cvetic Trebbiano d’Abruzzo Riserva</t>
  </si>
  <si>
    <t>Marina Cvetic Iskra</t>
  </si>
  <si>
    <t>Villa Gemma Montepulciano d’Abruzzo</t>
  </si>
  <si>
    <t>Villa Gemma Bianco</t>
  </si>
  <si>
    <t>Villa Gemma Cerasuolo d’Abruzzo</t>
  </si>
  <si>
    <t>Trebbiano d'Abruzzo</t>
  </si>
  <si>
    <t>Rosato</t>
  </si>
  <si>
    <t>852165006386</t>
  </si>
  <si>
    <t>10852165006383</t>
  </si>
  <si>
    <t>852165006409</t>
  </si>
  <si>
    <t>10852165006406</t>
  </si>
  <si>
    <t>852165006423</t>
  </si>
  <si>
    <t>10852165006420</t>
  </si>
  <si>
    <t>852165006430</t>
  </si>
  <si>
    <t>20852165006434</t>
  </si>
  <si>
    <t>852165006447</t>
  </si>
  <si>
    <t>20852165006441</t>
  </si>
  <si>
    <t>852165006454</t>
  </si>
  <si>
    <t>20852165006458</t>
  </si>
  <si>
    <t>852165006461</t>
  </si>
  <si>
    <t>10852165006468</t>
  </si>
  <si>
    <t>852165006478</t>
  </si>
  <si>
    <t>10852165006475</t>
  </si>
  <si>
    <t>Bottle Vol.</t>
  </si>
  <si>
    <t>Alc.</t>
  </si>
  <si>
    <t>Btl. Width &amp; Depth (in.)</t>
  </si>
  <si>
    <t>VINTUS Product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</si>
</sst>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4" fillId="0" borderId="2" applyNumberFormat="0" applyFill="0" applyAlignment="0" applyProtection="0"/>
    <xf numFmtId="0" fontId="7" fillId="4" borderId="0" applyNumberFormat="0" applyBorder="0" applyAlignment="0" applyProtection="0"/>
    <xf numFmtId="0" fontId="8" fillId="0" borderId="0"/>
    <xf numFmtId="0" fontId="7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3" borderId="0" xfId="2" applyFont="1" applyFill="1" applyBorder="1"/>
    <xf numFmtId="2" fontId="0" fillId="0" borderId="0" xfId="0" applyNumberFormat="1" applyFill="1"/>
    <xf numFmtId="2" fontId="0" fillId="0" borderId="0" xfId="0" applyNumberFormat="1"/>
    <xf numFmtId="2" fontId="1" fillId="2" borderId="0" xfId="1" applyNumberFormat="1" applyFont="1" applyAlignment="1">
      <alignment horizontal="center" vertical="center" wrapText="1"/>
    </xf>
    <xf numFmtId="2" fontId="6" fillId="3" borderId="0" xfId="2" applyNumberFormat="1" applyFont="1" applyFill="1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/>
    <xf numFmtId="0" fontId="1" fillId="2" borderId="0" xfId="1" applyFont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4" borderId="3" xfId="3" applyBorder="1"/>
    <xf numFmtId="0" fontId="7" fillId="4" borderId="1" xfId="3" applyBorder="1"/>
    <xf numFmtId="0" fontId="0" fillId="0" borderId="5" xfId="0" applyBorder="1"/>
    <xf numFmtId="0" fontId="7" fillId="4" borderId="1" xfId="3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4" borderId="1" xfId="3" applyNumberForma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20% - Accent1" xfId="3" builtinId="30"/>
    <cellStyle name="Accent1" xfId="1" builtinId="29"/>
    <cellStyle name="Heading 1" xfId="2" builtinId="16"/>
    <cellStyle name="Normal" xfId="0" builtinId="0"/>
    <cellStyle name="Normal 2" xfId="5" xr:uid="{00000000-0005-0000-0000-000005000000}"/>
    <cellStyle name="Normal 3" xfId="4" xr:uid="{00000000-0005-0000-0000-000006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zoomScale="85" zoomScaleNormal="85" zoomScaleSheetLayoutView="85" workbookViewId="0">
      <selection sqref="A1:B1"/>
    </sheetView>
  </sheetViews>
  <sheetFormatPr defaultRowHeight="15" x14ac:dyDescent="0.25"/>
  <cols>
    <col min="1" max="1" width="15.140625" style="1" customWidth="1"/>
    <col min="2" max="2" width="31.5703125" style="11" customWidth="1"/>
    <col min="3" max="3" width="4.85546875" style="11" customWidth="1"/>
    <col min="4" max="4" width="5.85546875" style="3" customWidth="1"/>
    <col min="5" max="5" width="7.28515625" style="11" customWidth="1"/>
    <col min="6" max="6" width="6" style="3" customWidth="1"/>
    <col min="7" max="7" width="5.140625" style="3" customWidth="1"/>
    <col min="8" max="8" width="7.7109375" style="3" customWidth="1"/>
    <col min="9" max="9" width="13.5703125" style="3" customWidth="1"/>
    <col min="10" max="10" width="15.5703125" style="3" customWidth="1"/>
    <col min="11" max="11" width="6" style="5" customWidth="1"/>
    <col min="12" max="12" width="6.42578125" style="5" customWidth="1"/>
    <col min="13" max="13" width="7.140625" style="5" customWidth="1"/>
    <col min="14" max="14" width="6.85546875" style="5" customWidth="1"/>
    <col min="15" max="16" width="6.5703125" style="5" customWidth="1"/>
    <col min="17" max="17" width="6.85546875" style="3" customWidth="1"/>
    <col min="18" max="20" width="6.28515625" style="3" customWidth="1"/>
    <col min="21" max="21" width="6.140625" style="11" customWidth="1"/>
    <col min="22" max="22" width="7.28515625" style="3" customWidth="1"/>
    <col min="23" max="23" width="7" style="3" customWidth="1"/>
    <col min="24" max="25" width="12.5703125" style="11" customWidth="1"/>
    <col min="26" max="26" width="1.7109375" style="11" customWidth="1"/>
    <col min="27" max="27" width="12.85546875" style="11" customWidth="1"/>
    <col min="28" max="16384" width="9.140625" style="11"/>
  </cols>
  <sheetData>
    <row r="1" spans="1:23" ht="18.75" x14ac:dyDescent="0.3">
      <c r="A1" s="27" t="s">
        <v>54</v>
      </c>
      <c r="B1" s="27"/>
      <c r="D1" s="11"/>
      <c r="F1" s="11"/>
      <c r="G1" s="11"/>
      <c r="H1" s="11"/>
      <c r="I1" s="11"/>
      <c r="J1" s="11"/>
      <c r="K1" s="6"/>
      <c r="L1" s="6"/>
      <c r="M1" s="6"/>
      <c r="N1" s="6"/>
      <c r="O1" s="6"/>
      <c r="P1" s="6"/>
      <c r="Q1" s="11"/>
      <c r="R1" s="11"/>
      <c r="S1" s="11"/>
      <c r="T1" s="11"/>
      <c r="V1" s="11"/>
      <c r="W1" s="11"/>
    </row>
    <row r="2" spans="1:23" s="2" customFormat="1" ht="58.5" customHeight="1" x14ac:dyDescent="0.25">
      <c r="A2" s="12" t="s">
        <v>2</v>
      </c>
      <c r="B2" s="12" t="s">
        <v>0</v>
      </c>
      <c r="C2" s="12" t="s">
        <v>5</v>
      </c>
      <c r="D2" s="12" t="s">
        <v>51</v>
      </c>
      <c r="E2" s="12" t="s">
        <v>1</v>
      </c>
      <c r="F2" s="12" t="s">
        <v>52</v>
      </c>
      <c r="G2" s="12" t="s">
        <v>4</v>
      </c>
      <c r="H2" s="12" t="s">
        <v>19</v>
      </c>
      <c r="I2" s="12" t="s">
        <v>10</v>
      </c>
      <c r="J2" s="12" t="s">
        <v>18</v>
      </c>
      <c r="K2" s="7" t="s">
        <v>53</v>
      </c>
      <c r="L2" s="7" t="s">
        <v>13</v>
      </c>
      <c r="M2" s="7" t="s">
        <v>12</v>
      </c>
      <c r="N2" s="7" t="s">
        <v>14</v>
      </c>
      <c r="O2" s="7" t="s">
        <v>15</v>
      </c>
      <c r="P2" s="7" t="s">
        <v>16</v>
      </c>
      <c r="Q2" s="12" t="s">
        <v>6</v>
      </c>
      <c r="R2" s="12" t="s">
        <v>7</v>
      </c>
      <c r="S2" s="12" t="s">
        <v>8</v>
      </c>
      <c r="T2" s="12" t="s">
        <v>9</v>
      </c>
      <c r="U2" s="12" t="s">
        <v>3</v>
      </c>
      <c r="V2" s="12" t="s">
        <v>17</v>
      </c>
      <c r="W2" s="12" t="s">
        <v>11</v>
      </c>
    </row>
    <row r="3" spans="1:23" ht="17.25" x14ac:dyDescent="0.3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8"/>
      <c r="L3" s="8"/>
      <c r="M3" s="8"/>
      <c r="N3" s="8"/>
      <c r="O3" s="8"/>
      <c r="P3" s="8"/>
      <c r="Q3" s="4"/>
      <c r="R3" s="4"/>
      <c r="S3" s="4"/>
      <c r="T3" s="4"/>
      <c r="U3" s="4"/>
      <c r="V3" s="4"/>
      <c r="W3" s="4"/>
    </row>
    <row r="4" spans="1:23" x14ac:dyDescent="0.25">
      <c r="A4" s="22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24"/>
      <c r="L4" s="24"/>
      <c r="M4" s="24"/>
      <c r="N4" s="24"/>
      <c r="O4" s="24"/>
      <c r="P4" s="24"/>
      <c r="Q4" s="13"/>
      <c r="R4" s="13"/>
      <c r="S4" s="13"/>
      <c r="T4" s="13"/>
      <c r="U4" s="13"/>
      <c r="V4" s="13"/>
      <c r="W4" s="13"/>
    </row>
    <row r="5" spans="1:23" x14ac:dyDescent="0.25">
      <c r="A5" s="16" t="str">
        <f>"Masciarelli"</f>
        <v>Masciarelli</v>
      </c>
      <c r="B5" s="9" t="str">
        <f>"Montepulciano d'Abruzzo"</f>
        <v>Montepulciano d'Abruzzo</v>
      </c>
      <c r="C5" s="15">
        <v>12</v>
      </c>
      <c r="D5" s="15">
        <v>750</v>
      </c>
      <c r="E5" s="15" t="str">
        <f>"2015"</f>
        <v>2015</v>
      </c>
      <c r="F5" s="10">
        <v>13</v>
      </c>
      <c r="G5" s="15" t="str">
        <f t="shared" ref="G5" si="0">IF(LEN(I5)=12,"UPC",IF(LEN(I5)&gt;12,"EAN",""))</f>
        <v>UPC</v>
      </c>
      <c r="H5" s="15" t="str">
        <f>IF(ISNUMBER(SEARCH("Gift",#REF!)),"Gift Box","")</f>
        <v/>
      </c>
      <c r="I5" s="15" t="str">
        <f>"852165006362"</f>
        <v>852165006362</v>
      </c>
      <c r="J5" s="15" t="str">
        <f>"10852165006369"</f>
        <v>10852165006369</v>
      </c>
      <c r="K5" s="23">
        <v>3</v>
      </c>
      <c r="L5" s="23">
        <v>11.5</v>
      </c>
      <c r="M5" s="23">
        <v>2.6666699999999999</v>
      </c>
      <c r="N5" s="23">
        <v>12</v>
      </c>
      <c r="O5" s="23">
        <v>9</v>
      </c>
      <c r="P5" s="23">
        <v>12</v>
      </c>
      <c r="Q5" s="15">
        <v>32</v>
      </c>
      <c r="R5" s="23">
        <f t="shared" ref="R5" si="1">IF(N5&gt;0,(N5*O5*P5)/1728,"")</f>
        <v>0.75</v>
      </c>
      <c r="S5" s="15">
        <v>10</v>
      </c>
      <c r="T5" s="15">
        <v>6</v>
      </c>
      <c r="U5" s="15">
        <v>60</v>
      </c>
      <c r="V5" s="15">
        <f t="shared" ref="V5" si="2">IF(T5&gt;0,T5*P5,"")</f>
        <v>72</v>
      </c>
      <c r="W5" s="15">
        <f t="shared" ref="W5" si="3">IF(Q5&gt;0,Q5*(S5*T5),"")</f>
        <v>1920</v>
      </c>
    </row>
    <row r="6" spans="1:23" x14ac:dyDescent="0.25">
      <c r="A6" s="16" t="str">
        <f>"Masciarelli"</f>
        <v>Masciarelli</v>
      </c>
      <c r="B6" s="9" t="str">
        <f>"Montepulciano d'Abruzzo"</f>
        <v>Montepulciano d'Abruzzo</v>
      </c>
      <c r="C6" s="15">
        <v>6</v>
      </c>
      <c r="D6" s="15">
        <v>1500</v>
      </c>
      <c r="E6" s="15" t="str">
        <f>"2015"</f>
        <v>2015</v>
      </c>
      <c r="F6" s="10">
        <v>13</v>
      </c>
      <c r="G6" s="15" t="str">
        <f t="shared" ref="G6:G8" si="4">IF(LEN(I6)=12,"UPC",IF(LEN(I6)&gt;12,"EAN",""))</f>
        <v>UPC</v>
      </c>
      <c r="H6" s="15" t="str">
        <f>IF(ISNUMBER(SEARCH("Gift",#REF!)),"Gift Box","")</f>
        <v/>
      </c>
      <c r="I6" s="15" t="str">
        <f>"852165006379"</f>
        <v>852165006379</v>
      </c>
      <c r="J6" s="15" t="str">
        <f>"20852165006373"</f>
        <v>20852165006373</v>
      </c>
      <c r="K6" s="23">
        <v>3.8</v>
      </c>
      <c r="L6" s="23">
        <v>13.5</v>
      </c>
      <c r="M6" s="23">
        <v>5.5</v>
      </c>
      <c r="N6" s="23">
        <v>12</v>
      </c>
      <c r="O6" s="23">
        <v>8</v>
      </c>
      <c r="P6" s="23">
        <v>14</v>
      </c>
      <c r="Q6" s="15">
        <v>33</v>
      </c>
      <c r="R6" s="23">
        <f t="shared" ref="R6:R8" si="5">IF(N6&gt;0,(N6*O6*P6)/1728,"")</f>
        <v>0.77777777777777779</v>
      </c>
      <c r="S6" s="15">
        <v>12</v>
      </c>
      <c r="T6" s="15">
        <v>5</v>
      </c>
      <c r="U6" s="15">
        <v>60</v>
      </c>
      <c r="V6" s="15">
        <f t="shared" ref="V6:V8" si="6">IF(T6&gt;0,T6*P6,"")</f>
        <v>70</v>
      </c>
      <c r="W6" s="15">
        <f t="shared" ref="W6:W8" si="7">IF(Q6&gt;0,Q6*(S6*T6),"")</f>
        <v>1980</v>
      </c>
    </row>
    <row r="7" spans="1:23" x14ac:dyDescent="0.25">
      <c r="A7" s="16" t="str">
        <f>"Masciarelli"</f>
        <v>Masciarelli</v>
      </c>
      <c r="B7" s="9" t="str">
        <f>"Montepulciano d'Abruzzo"</f>
        <v>Montepulciano d'Abruzzo</v>
      </c>
      <c r="C7" s="15">
        <v>12</v>
      </c>
      <c r="D7" s="15">
        <v>750</v>
      </c>
      <c r="E7" s="15" t="str">
        <f>"2016"</f>
        <v>2016</v>
      </c>
      <c r="F7" s="10">
        <v>13</v>
      </c>
      <c r="G7" s="15" t="str">
        <f t="shared" si="4"/>
        <v>UPC</v>
      </c>
      <c r="H7" s="15" t="str">
        <f>IF(ISNUMBER(SEARCH("Gift",#REF!)),"Gift Box","")</f>
        <v/>
      </c>
      <c r="I7" s="15" t="str">
        <f>"852165006362"</f>
        <v>852165006362</v>
      </c>
      <c r="J7" s="15" t="str">
        <f>"10852165006369"</f>
        <v>10852165006369</v>
      </c>
      <c r="K7" s="23">
        <v>3</v>
      </c>
      <c r="L7" s="23">
        <v>11.5</v>
      </c>
      <c r="M7" s="23">
        <v>2.6666699999999999</v>
      </c>
      <c r="N7" s="23">
        <v>12</v>
      </c>
      <c r="O7" s="23">
        <v>9</v>
      </c>
      <c r="P7" s="23">
        <v>12</v>
      </c>
      <c r="Q7" s="15">
        <v>32</v>
      </c>
      <c r="R7" s="23">
        <f t="shared" si="5"/>
        <v>0.75</v>
      </c>
      <c r="S7" s="15">
        <v>10</v>
      </c>
      <c r="T7" s="15">
        <v>6</v>
      </c>
      <c r="U7" s="15">
        <v>60</v>
      </c>
      <c r="V7" s="15">
        <f t="shared" si="6"/>
        <v>72</v>
      </c>
      <c r="W7" s="15">
        <f t="shared" si="7"/>
        <v>1920</v>
      </c>
    </row>
    <row r="8" spans="1:23" x14ac:dyDescent="0.25">
      <c r="A8" s="16" t="str">
        <f>"Masciarelli"</f>
        <v>Masciarelli</v>
      </c>
      <c r="B8" s="9" t="str">
        <f>"Montepulciano d'Abruzzo"</f>
        <v>Montepulciano d'Abruzzo</v>
      </c>
      <c r="C8" s="15">
        <v>6</v>
      </c>
      <c r="D8" s="15">
        <v>1500</v>
      </c>
      <c r="E8" s="15" t="str">
        <f>"2016"</f>
        <v>2016</v>
      </c>
      <c r="F8" s="10">
        <v>13</v>
      </c>
      <c r="G8" s="15" t="str">
        <f t="shared" si="4"/>
        <v>UPC</v>
      </c>
      <c r="H8" s="15" t="str">
        <f>IF(ISNUMBER(SEARCH("Gift",#REF!)),"Gift Box","")</f>
        <v/>
      </c>
      <c r="I8" s="15" t="str">
        <f>"852165006379"</f>
        <v>852165006379</v>
      </c>
      <c r="J8" s="15" t="str">
        <f>"20852165006373"</f>
        <v>20852165006373</v>
      </c>
      <c r="K8" s="23">
        <v>3.8</v>
      </c>
      <c r="L8" s="23">
        <v>13.5</v>
      </c>
      <c r="M8" s="23">
        <v>5.5</v>
      </c>
      <c r="N8" s="23">
        <v>12</v>
      </c>
      <c r="O8" s="23">
        <v>8</v>
      </c>
      <c r="P8" s="23">
        <v>14</v>
      </c>
      <c r="Q8" s="15">
        <v>33</v>
      </c>
      <c r="R8" s="23">
        <f t="shared" si="5"/>
        <v>0.77777777777777779</v>
      </c>
      <c r="S8" s="15">
        <v>12</v>
      </c>
      <c r="T8" s="15">
        <v>5</v>
      </c>
      <c r="U8" s="15">
        <v>60</v>
      </c>
      <c r="V8" s="15">
        <f t="shared" si="6"/>
        <v>70</v>
      </c>
      <c r="W8" s="15">
        <f t="shared" si="7"/>
        <v>1980</v>
      </c>
    </row>
    <row r="9" spans="1:23" x14ac:dyDescent="0.25">
      <c r="A9" s="16" t="s">
        <v>24</v>
      </c>
      <c r="B9" s="9" t="s">
        <v>33</v>
      </c>
      <c r="C9" s="15">
        <v>12</v>
      </c>
      <c r="D9" s="15">
        <v>750</v>
      </c>
      <c r="E9" s="15" t="s">
        <v>20</v>
      </c>
      <c r="F9" s="10">
        <v>13</v>
      </c>
      <c r="G9" s="15" t="str">
        <f t="shared" ref="G9:G10" si="8">IF(LEN(I9)=12,"UPC",IF(LEN(I9)&gt;12,"EAN",""))</f>
        <v>UPC</v>
      </c>
      <c r="H9" s="15" t="str">
        <f>IF(ISNUMBER(SEARCH("Gift",#REF!)),"Gift Box","")</f>
        <v/>
      </c>
      <c r="I9" s="15" t="s">
        <v>35</v>
      </c>
      <c r="J9" s="15" t="s">
        <v>36</v>
      </c>
      <c r="K9" s="23">
        <v>3</v>
      </c>
      <c r="L9" s="23">
        <v>11.5</v>
      </c>
      <c r="M9" s="23">
        <v>2.5</v>
      </c>
      <c r="N9" s="23">
        <v>12</v>
      </c>
      <c r="O9" s="23">
        <v>9</v>
      </c>
      <c r="P9" s="23">
        <v>12</v>
      </c>
      <c r="Q9" s="15">
        <v>30</v>
      </c>
      <c r="R9" s="23">
        <f t="shared" ref="R9:R10" si="9">IF(N9&gt;0,(N9*O9*P9)/1728,"")</f>
        <v>0.75</v>
      </c>
      <c r="S9" s="15">
        <v>10</v>
      </c>
      <c r="T9" s="15">
        <v>6</v>
      </c>
      <c r="U9" s="15">
        <v>60</v>
      </c>
      <c r="V9" s="15">
        <f t="shared" ref="V9:V10" si="10">IF(T9&gt;0,T9*P9,"")</f>
        <v>72</v>
      </c>
      <c r="W9" s="15">
        <f t="shared" ref="W9:W10" si="11">IF(Q9&gt;0,Q9*(S9*T9),"")</f>
        <v>1800</v>
      </c>
    </row>
    <row r="10" spans="1:23" x14ac:dyDescent="0.25">
      <c r="A10" s="16" t="s">
        <v>24</v>
      </c>
      <c r="B10" s="9" t="s">
        <v>34</v>
      </c>
      <c r="C10" s="15">
        <v>12</v>
      </c>
      <c r="D10" s="15">
        <v>750</v>
      </c>
      <c r="E10" s="15" t="s">
        <v>20</v>
      </c>
      <c r="F10" s="10">
        <v>12.5</v>
      </c>
      <c r="G10" s="15" t="str">
        <f t="shared" si="8"/>
        <v>UPC</v>
      </c>
      <c r="H10" s="15" t="str">
        <f>IF(ISNUMBER(SEARCH("Gift",#REF!)),"Gift Box","")</f>
        <v/>
      </c>
      <c r="I10" s="15" t="s">
        <v>37</v>
      </c>
      <c r="J10" s="15" t="s">
        <v>38</v>
      </c>
      <c r="K10" s="23">
        <v>3</v>
      </c>
      <c r="L10" s="23">
        <v>11.5</v>
      </c>
      <c r="M10" s="23">
        <v>2.5</v>
      </c>
      <c r="N10" s="23">
        <v>12</v>
      </c>
      <c r="O10" s="23">
        <v>9</v>
      </c>
      <c r="P10" s="23">
        <v>12</v>
      </c>
      <c r="Q10" s="15">
        <v>30</v>
      </c>
      <c r="R10" s="23">
        <f t="shared" si="9"/>
        <v>0.75</v>
      </c>
      <c r="S10" s="15">
        <v>10</v>
      </c>
      <c r="T10" s="15">
        <v>6</v>
      </c>
      <c r="U10" s="15">
        <v>60</v>
      </c>
      <c r="V10" s="15">
        <f t="shared" si="10"/>
        <v>72</v>
      </c>
      <c r="W10" s="15">
        <f t="shared" si="11"/>
        <v>1800</v>
      </c>
    </row>
    <row r="11" spans="1:23" ht="6" customHeight="1" x14ac:dyDescent="0.25">
      <c r="A11" s="17"/>
      <c r="B11" s="14"/>
      <c r="C11" s="14"/>
      <c r="D11" s="14"/>
      <c r="E11" s="20"/>
      <c r="F11" s="14"/>
      <c r="G11" s="14"/>
      <c r="H11" s="14"/>
      <c r="I11" s="14"/>
      <c r="J11" s="14"/>
      <c r="K11" s="25"/>
      <c r="L11" s="25"/>
      <c r="M11" s="25"/>
      <c r="N11" s="25"/>
      <c r="O11" s="25"/>
      <c r="P11" s="25"/>
      <c r="Q11" s="14"/>
      <c r="R11" s="14"/>
      <c r="S11" s="14"/>
      <c r="T11" s="14"/>
      <c r="U11" s="14"/>
      <c r="V11" s="14"/>
      <c r="W11" s="14"/>
    </row>
    <row r="12" spans="1:23" x14ac:dyDescent="0.25">
      <c r="A12" s="22" t="str">
        <f>"MARINA CVETIC"</f>
        <v>MARINA CVETIC</v>
      </c>
      <c r="B12" s="13"/>
      <c r="C12" s="13"/>
      <c r="D12" s="13"/>
      <c r="E12" s="13"/>
      <c r="F12" s="13"/>
      <c r="G12" s="13"/>
      <c r="H12" s="13"/>
      <c r="I12" s="13"/>
      <c r="J12" s="13"/>
      <c r="K12" s="24"/>
      <c r="L12" s="24"/>
      <c r="M12" s="24"/>
      <c r="N12" s="24"/>
      <c r="O12" s="24"/>
      <c r="P12" s="24"/>
      <c r="Q12" s="13"/>
      <c r="R12" s="13"/>
      <c r="S12" s="13"/>
      <c r="T12" s="13"/>
      <c r="U12" s="13"/>
      <c r="V12" s="13"/>
      <c r="W12" s="13"/>
    </row>
    <row r="13" spans="1:23" x14ac:dyDescent="0.25">
      <c r="A13" s="16" t="s">
        <v>24</v>
      </c>
      <c r="B13" s="9" t="s">
        <v>27</v>
      </c>
      <c r="C13" s="15">
        <v>12</v>
      </c>
      <c r="D13" s="15">
        <v>750</v>
      </c>
      <c r="E13" s="15" t="s">
        <v>22</v>
      </c>
      <c r="F13" s="10">
        <v>14</v>
      </c>
      <c r="G13" s="15" t="str">
        <f t="shared" ref="G13" si="12">IF(LEN(I13)=12,"UPC",IF(LEN(I13)&gt;12,"EAN",""))</f>
        <v>UPC</v>
      </c>
      <c r="H13" s="15" t="str">
        <f>IF(ISNUMBER(SEARCH("Gift",#REF!)),"Gift Box","")</f>
        <v/>
      </c>
      <c r="I13" s="15" t="s">
        <v>39</v>
      </c>
      <c r="J13" s="15" t="s">
        <v>40</v>
      </c>
      <c r="K13" s="23">
        <v>3.2</v>
      </c>
      <c r="L13" s="23">
        <v>12</v>
      </c>
      <c r="M13" s="23">
        <v>3.3333299999999997</v>
      </c>
      <c r="N13" s="23">
        <v>21</v>
      </c>
      <c r="O13" s="23">
        <v>12.5</v>
      </c>
      <c r="P13" s="23">
        <v>7</v>
      </c>
      <c r="Q13" s="15">
        <v>40</v>
      </c>
      <c r="R13" s="23">
        <f t="shared" ref="R13" si="13">IF(N13&gt;0,(N13*O13*P13)/1728,"")</f>
        <v>1.0633680555555556</v>
      </c>
      <c r="S13" s="15">
        <v>4</v>
      </c>
      <c r="T13" s="15">
        <v>8</v>
      </c>
      <c r="U13" s="15">
        <v>32</v>
      </c>
      <c r="V13" s="15">
        <f t="shared" ref="V13" si="14">IF(T13&gt;0,T13*P13,"")</f>
        <v>56</v>
      </c>
      <c r="W13" s="15">
        <f t="shared" ref="W13" si="15">IF(Q13&gt;0,Q13*(S13*T13),"")</f>
        <v>1280</v>
      </c>
    </row>
    <row r="14" spans="1:23" x14ac:dyDescent="0.25">
      <c r="A14" s="16" t="s">
        <v>24</v>
      </c>
      <c r="B14" s="9" t="s">
        <v>27</v>
      </c>
      <c r="C14" s="15">
        <v>12</v>
      </c>
      <c r="D14" s="15">
        <v>750</v>
      </c>
      <c r="E14" s="15" t="s">
        <v>23</v>
      </c>
      <c r="F14" s="10">
        <v>14.5</v>
      </c>
      <c r="G14" s="15" t="str">
        <f t="shared" ref="G14" si="16">IF(LEN(I14)=12,"UPC",IF(LEN(I14)&gt;12,"EAN",""))</f>
        <v>UPC</v>
      </c>
      <c r="H14" s="15" t="str">
        <f>IF(ISNUMBER(SEARCH("Gift",#REF!)),"Gift Box","")</f>
        <v/>
      </c>
      <c r="I14" s="15" t="s">
        <v>39</v>
      </c>
      <c r="J14" s="15" t="s">
        <v>40</v>
      </c>
      <c r="K14" s="23">
        <v>3.2</v>
      </c>
      <c r="L14" s="23">
        <v>12</v>
      </c>
      <c r="M14" s="23">
        <v>3.3333299999999997</v>
      </c>
      <c r="N14" s="23">
        <v>21</v>
      </c>
      <c r="O14" s="23">
        <v>12.5</v>
      </c>
      <c r="P14" s="23">
        <v>7</v>
      </c>
      <c r="Q14" s="15">
        <v>40</v>
      </c>
      <c r="R14" s="23">
        <f t="shared" ref="R14" si="17">IF(N14&gt;0,(N14*O14*P14)/1728,"")</f>
        <v>1.0633680555555556</v>
      </c>
      <c r="S14" s="15">
        <v>4</v>
      </c>
      <c r="T14" s="15">
        <v>8</v>
      </c>
      <c r="U14" s="15">
        <v>32</v>
      </c>
      <c r="V14" s="15">
        <f t="shared" ref="V14" si="18">IF(T14&gt;0,T14*P14,"")</f>
        <v>56</v>
      </c>
      <c r="W14" s="15">
        <f t="shared" ref="W14" si="19">IF(Q14&gt;0,Q14*(S14*T14),"")</f>
        <v>1280</v>
      </c>
    </row>
    <row r="15" spans="1:23" x14ac:dyDescent="0.25">
      <c r="A15" s="16" t="s">
        <v>24</v>
      </c>
      <c r="B15" s="9" t="s">
        <v>28</v>
      </c>
      <c r="C15" s="15">
        <v>6</v>
      </c>
      <c r="D15" s="15">
        <v>750</v>
      </c>
      <c r="E15" s="15" t="s">
        <v>21</v>
      </c>
      <c r="F15" s="10">
        <v>14.5</v>
      </c>
      <c r="G15" s="15" t="str">
        <f t="shared" ref="G15:G16" si="20">IF(LEN(I15)=12,"UPC",IF(LEN(I15)&gt;12,"EAN",""))</f>
        <v>UPC</v>
      </c>
      <c r="H15" s="15" t="str">
        <f>IF(ISNUMBER(SEARCH("Gift",#REF!)),"Gift Box","")</f>
        <v/>
      </c>
      <c r="I15" s="15" t="s">
        <v>41</v>
      </c>
      <c r="J15" s="15" t="s">
        <v>42</v>
      </c>
      <c r="K15" s="23">
        <v>3.2</v>
      </c>
      <c r="L15" s="23">
        <v>12</v>
      </c>
      <c r="M15" s="23">
        <v>3.5</v>
      </c>
      <c r="N15" s="23">
        <v>10</v>
      </c>
      <c r="O15" s="23">
        <v>7</v>
      </c>
      <c r="P15" s="23">
        <v>12.5</v>
      </c>
      <c r="Q15" s="15">
        <v>21</v>
      </c>
      <c r="R15" s="23">
        <f t="shared" ref="R15:R16" si="21">IF(N15&gt;0,(N15*O15*P15)/1728,"")</f>
        <v>0.5063657407407407</v>
      </c>
      <c r="S15" s="15">
        <v>9</v>
      </c>
      <c r="T15" s="15">
        <v>8</v>
      </c>
      <c r="U15" s="15">
        <v>72</v>
      </c>
      <c r="V15" s="15">
        <f t="shared" ref="V15:V16" si="22">IF(T15&gt;0,T15*P15,"")</f>
        <v>100</v>
      </c>
      <c r="W15" s="15">
        <f t="shared" ref="W15:W16" si="23">IF(Q15&gt;0,Q15*(S15*T15),"")</f>
        <v>1512</v>
      </c>
    </row>
    <row r="16" spans="1:23" x14ac:dyDescent="0.25">
      <c r="A16" s="16" t="s">
        <v>24</v>
      </c>
      <c r="B16" s="9" t="s">
        <v>29</v>
      </c>
      <c r="C16" s="15">
        <v>6</v>
      </c>
      <c r="D16" s="15">
        <v>750</v>
      </c>
      <c r="E16" s="15" t="s">
        <v>23</v>
      </c>
      <c r="F16" s="10">
        <v>14.5</v>
      </c>
      <c r="G16" s="15" t="str">
        <f t="shared" si="20"/>
        <v>UPC</v>
      </c>
      <c r="H16" s="15" t="str">
        <f>IF(ISNUMBER(SEARCH("Gift",#REF!)),"Gift Box","")</f>
        <v/>
      </c>
      <c r="I16" s="15" t="s">
        <v>43</v>
      </c>
      <c r="J16" s="15" t="s">
        <v>44</v>
      </c>
      <c r="K16" s="23">
        <v>0</v>
      </c>
      <c r="L16" s="23">
        <v>12</v>
      </c>
      <c r="M16" s="23">
        <v>3.1666700000000003</v>
      </c>
      <c r="N16" s="23">
        <v>9</v>
      </c>
      <c r="O16" s="23">
        <v>6</v>
      </c>
      <c r="P16" s="23">
        <v>12</v>
      </c>
      <c r="Q16" s="15">
        <v>19</v>
      </c>
      <c r="R16" s="23">
        <f t="shared" si="21"/>
        <v>0.375</v>
      </c>
      <c r="S16" s="15">
        <v>9</v>
      </c>
      <c r="T16" s="15">
        <v>8</v>
      </c>
      <c r="U16" s="15">
        <v>72</v>
      </c>
      <c r="V16" s="15">
        <f t="shared" si="22"/>
        <v>96</v>
      </c>
      <c r="W16" s="15">
        <f t="shared" si="23"/>
        <v>1368</v>
      </c>
    </row>
    <row r="17" spans="1:23" ht="6" customHeight="1" x14ac:dyDescent="0.25">
      <c r="A17" s="17"/>
      <c r="B17" s="14"/>
      <c r="C17" s="14"/>
      <c r="D17" s="14"/>
      <c r="E17" s="20"/>
      <c r="F17" s="14"/>
      <c r="G17" s="14"/>
      <c r="H17" s="14"/>
      <c r="I17" s="14"/>
      <c r="J17" s="14"/>
      <c r="K17" s="25"/>
      <c r="L17" s="25"/>
      <c r="M17" s="25"/>
      <c r="N17" s="25"/>
      <c r="O17" s="25"/>
      <c r="P17" s="25"/>
      <c r="Q17" s="14"/>
      <c r="R17" s="14"/>
      <c r="S17" s="14"/>
      <c r="T17" s="14"/>
      <c r="U17" s="14"/>
      <c r="V17" s="14"/>
      <c r="W17" s="14"/>
    </row>
    <row r="18" spans="1:23" x14ac:dyDescent="0.25">
      <c r="A18" s="22" t="str">
        <f>"VILLA GEMMA"</f>
        <v>VILLA GEMMA</v>
      </c>
      <c r="B18" s="13"/>
      <c r="C18" s="13"/>
      <c r="D18" s="13"/>
      <c r="E18" s="13"/>
      <c r="F18" s="13"/>
      <c r="G18" s="13"/>
      <c r="H18" s="13"/>
      <c r="I18" s="13"/>
      <c r="J18" s="13"/>
      <c r="K18" s="24"/>
      <c r="L18" s="24"/>
      <c r="M18" s="24"/>
      <c r="N18" s="24"/>
      <c r="O18" s="24"/>
      <c r="P18" s="24"/>
      <c r="Q18" s="13"/>
      <c r="R18" s="13"/>
      <c r="S18" s="13"/>
      <c r="T18" s="13"/>
      <c r="U18" s="13"/>
      <c r="V18" s="13"/>
      <c r="W18" s="13"/>
    </row>
    <row r="19" spans="1:23" x14ac:dyDescent="0.25">
      <c r="A19" s="16" t="s">
        <v>24</v>
      </c>
      <c r="B19" s="9" t="s">
        <v>30</v>
      </c>
      <c r="C19" s="15">
        <v>6</v>
      </c>
      <c r="D19" s="15">
        <v>750</v>
      </c>
      <c r="E19" s="15" t="s">
        <v>26</v>
      </c>
      <c r="F19" s="10">
        <v>14.5</v>
      </c>
      <c r="G19" s="15" t="str">
        <f t="shared" ref="G19" si="24">IF(LEN(I19)=12,"UPC",IF(LEN(I19)&gt;12,"EAN",""))</f>
        <v>UPC</v>
      </c>
      <c r="H19" s="15" t="str">
        <f>IF(ISNUMBER(SEARCH("Gift",#REF!)),"Gift Box","")</f>
        <v/>
      </c>
      <c r="I19" s="15" t="s">
        <v>45</v>
      </c>
      <c r="J19" s="15" t="s">
        <v>46</v>
      </c>
      <c r="K19" s="23">
        <v>3.2</v>
      </c>
      <c r="L19" s="23">
        <v>12</v>
      </c>
      <c r="M19" s="23">
        <v>3.5</v>
      </c>
      <c r="N19" s="23">
        <v>10</v>
      </c>
      <c r="O19" s="23">
        <v>7</v>
      </c>
      <c r="P19" s="23">
        <v>12.5</v>
      </c>
      <c r="Q19" s="15">
        <v>21</v>
      </c>
      <c r="R19" s="23">
        <f t="shared" ref="R19" si="25">IF(N19&gt;0,(N19*O19*P19)/1728,"")</f>
        <v>0.5063657407407407</v>
      </c>
      <c r="S19" s="15">
        <v>9</v>
      </c>
      <c r="T19" s="15">
        <v>8</v>
      </c>
      <c r="U19" s="15">
        <v>72</v>
      </c>
      <c r="V19" s="15">
        <f t="shared" ref="V19" si="26">IF(T19&gt;0,T19*P19,"")</f>
        <v>100</v>
      </c>
      <c r="W19" s="15">
        <f t="shared" ref="W19" si="27">IF(Q19&gt;0,Q19*(S19*T19),"")</f>
        <v>1512</v>
      </c>
    </row>
    <row r="20" spans="1:23" x14ac:dyDescent="0.25">
      <c r="A20" s="16" t="s">
        <v>24</v>
      </c>
      <c r="B20" s="9" t="s">
        <v>31</v>
      </c>
      <c r="C20" s="15">
        <v>12</v>
      </c>
      <c r="D20" s="15">
        <v>750</v>
      </c>
      <c r="E20" s="15" t="s">
        <v>21</v>
      </c>
      <c r="F20" s="10">
        <v>13</v>
      </c>
      <c r="G20" s="15" t="str">
        <f t="shared" ref="G20:G22" si="28">IF(LEN(I20)=12,"UPC",IF(LEN(I20)&gt;12,"EAN",""))</f>
        <v>UPC</v>
      </c>
      <c r="H20" s="15" t="str">
        <f>IF(ISNUMBER(SEARCH("Gift",#REF!)),"Gift Box","")</f>
        <v/>
      </c>
      <c r="I20" s="15" t="s">
        <v>47</v>
      </c>
      <c r="J20" s="15" t="s">
        <v>48</v>
      </c>
      <c r="K20" s="23">
        <v>3.2</v>
      </c>
      <c r="L20" s="23">
        <v>12</v>
      </c>
      <c r="M20" s="23">
        <v>3.1666700000000003</v>
      </c>
      <c r="N20" s="23">
        <v>13</v>
      </c>
      <c r="O20" s="23">
        <v>10</v>
      </c>
      <c r="P20" s="23">
        <v>12.5</v>
      </c>
      <c r="Q20" s="15">
        <v>38</v>
      </c>
      <c r="R20" s="23">
        <f t="shared" ref="R20:R22" si="29">IF(N20&gt;0,(N20*O20*P20)/1728,"")</f>
        <v>0.94039351851851849</v>
      </c>
      <c r="S20" s="15">
        <v>10</v>
      </c>
      <c r="T20" s="15">
        <v>5</v>
      </c>
      <c r="U20" s="15">
        <v>50</v>
      </c>
      <c r="V20" s="15">
        <f t="shared" ref="V20:V22" si="30">IF(T20&gt;0,T20*P20,"")</f>
        <v>62.5</v>
      </c>
      <c r="W20" s="15">
        <f t="shared" ref="W20:W22" si="31">IF(Q20&gt;0,Q20*(S20*T20),"")</f>
        <v>1900</v>
      </c>
    </row>
    <row r="21" spans="1:23" x14ac:dyDescent="0.25">
      <c r="A21" s="16" t="s">
        <v>24</v>
      </c>
      <c r="B21" s="9" t="s">
        <v>31</v>
      </c>
      <c r="C21" s="15">
        <v>12</v>
      </c>
      <c r="D21" s="15">
        <v>750</v>
      </c>
      <c r="E21" s="15" t="s">
        <v>20</v>
      </c>
      <c r="F21" s="10">
        <v>13</v>
      </c>
      <c r="G21" s="15" t="str">
        <f t="shared" ref="G21" si="32">IF(LEN(I21)=12,"UPC",IF(LEN(I21)&gt;12,"EAN",""))</f>
        <v>UPC</v>
      </c>
      <c r="H21" s="15" t="str">
        <f>IF(ISNUMBER(SEARCH("Gift",#REF!)),"Gift Box","")</f>
        <v/>
      </c>
      <c r="I21" s="15" t="s">
        <v>47</v>
      </c>
      <c r="J21" s="15" t="s">
        <v>48</v>
      </c>
      <c r="K21" s="23">
        <v>3.2</v>
      </c>
      <c r="L21" s="23">
        <v>12</v>
      </c>
      <c r="M21" s="23">
        <v>3.1666700000000003</v>
      </c>
      <c r="N21" s="23">
        <v>13</v>
      </c>
      <c r="O21" s="23">
        <v>10</v>
      </c>
      <c r="P21" s="23">
        <v>12.5</v>
      </c>
      <c r="Q21" s="15">
        <v>38</v>
      </c>
      <c r="R21" s="23">
        <f t="shared" ref="R21" si="33">IF(N21&gt;0,(N21*O21*P21)/1728,"")</f>
        <v>0.94039351851851849</v>
      </c>
      <c r="S21" s="15">
        <v>10</v>
      </c>
      <c r="T21" s="15">
        <v>5</v>
      </c>
      <c r="U21" s="15">
        <v>50</v>
      </c>
      <c r="V21" s="15">
        <f t="shared" ref="V21" si="34">IF(T21&gt;0,T21*P21,"")</f>
        <v>62.5</v>
      </c>
      <c r="W21" s="15">
        <f t="shared" ref="W21" si="35">IF(Q21&gt;0,Q21*(S21*T21),"")</f>
        <v>1900</v>
      </c>
    </row>
    <row r="22" spans="1:23" x14ac:dyDescent="0.25">
      <c r="A22" s="16" t="s">
        <v>24</v>
      </c>
      <c r="B22" s="9" t="s">
        <v>32</v>
      </c>
      <c r="C22" s="15">
        <v>12</v>
      </c>
      <c r="D22" s="15">
        <v>750</v>
      </c>
      <c r="E22" s="15" t="s">
        <v>21</v>
      </c>
      <c r="F22" s="10">
        <v>13.5</v>
      </c>
      <c r="G22" s="15" t="str">
        <f t="shared" si="28"/>
        <v>UPC</v>
      </c>
      <c r="H22" s="15" t="str">
        <f>IF(ISNUMBER(SEARCH("Gift",#REF!)),"Gift Box","")</f>
        <v/>
      </c>
      <c r="I22" s="15" t="s">
        <v>49</v>
      </c>
      <c r="J22" s="15" t="s">
        <v>50</v>
      </c>
      <c r="K22" s="23">
        <v>3.2</v>
      </c>
      <c r="L22" s="23">
        <v>12</v>
      </c>
      <c r="M22" s="23">
        <v>3.1666700000000003</v>
      </c>
      <c r="N22" s="23">
        <v>13</v>
      </c>
      <c r="O22" s="23">
        <v>10</v>
      </c>
      <c r="P22" s="23">
        <v>12.5</v>
      </c>
      <c r="Q22" s="15">
        <v>38</v>
      </c>
      <c r="R22" s="23">
        <f t="shared" si="29"/>
        <v>0.94039351851851849</v>
      </c>
      <c r="S22" s="15">
        <v>10</v>
      </c>
      <c r="T22" s="15">
        <v>5</v>
      </c>
      <c r="U22" s="15">
        <v>50</v>
      </c>
      <c r="V22" s="15">
        <f t="shared" si="30"/>
        <v>62.5</v>
      </c>
      <c r="W22" s="15">
        <f t="shared" si="31"/>
        <v>1900</v>
      </c>
    </row>
    <row r="23" spans="1:23" x14ac:dyDescent="0.25">
      <c r="A23" s="16" t="s">
        <v>24</v>
      </c>
      <c r="B23" s="9" t="s">
        <v>32</v>
      </c>
      <c r="C23" s="15">
        <v>12</v>
      </c>
      <c r="D23" s="15">
        <v>750</v>
      </c>
      <c r="E23" s="15" t="s">
        <v>20</v>
      </c>
      <c r="F23" s="10">
        <v>13.5</v>
      </c>
      <c r="G23" s="15" t="str">
        <f t="shared" ref="G23" si="36">IF(LEN(I23)=12,"UPC",IF(LEN(I23)&gt;12,"EAN",""))</f>
        <v>UPC</v>
      </c>
      <c r="H23" s="15" t="str">
        <f>IF(ISNUMBER(SEARCH("Gift",#REF!)),"Gift Box","")</f>
        <v/>
      </c>
      <c r="I23" s="15" t="s">
        <v>49</v>
      </c>
      <c r="J23" s="15" t="s">
        <v>50</v>
      </c>
      <c r="K23" s="23">
        <v>3.2</v>
      </c>
      <c r="L23" s="23">
        <v>12</v>
      </c>
      <c r="M23" s="23">
        <v>3.1666700000000003</v>
      </c>
      <c r="N23" s="23">
        <v>13</v>
      </c>
      <c r="O23" s="23">
        <v>10</v>
      </c>
      <c r="P23" s="23">
        <v>12.5</v>
      </c>
      <c r="Q23" s="15">
        <v>38</v>
      </c>
      <c r="R23" s="23">
        <f t="shared" ref="R23" si="37">IF(N23&gt;0,(N23*O23*P23)/1728,"")</f>
        <v>0.94039351851851849</v>
      </c>
      <c r="S23" s="15">
        <v>10</v>
      </c>
      <c r="T23" s="15">
        <v>5</v>
      </c>
      <c r="U23" s="15">
        <v>50</v>
      </c>
      <c r="V23" s="15">
        <f t="shared" ref="V23" si="38">IF(T23&gt;0,T23*P23,"")</f>
        <v>62.5</v>
      </c>
      <c r="W23" s="15">
        <f t="shared" ref="W23" si="39">IF(Q23&gt;0,Q23*(S23*T23),"")</f>
        <v>1900</v>
      </c>
    </row>
    <row r="24" spans="1:23" ht="6" customHeight="1" x14ac:dyDescent="0.25">
      <c r="A24" s="17"/>
      <c r="B24" s="14"/>
      <c r="C24" s="14"/>
      <c r="D24" s="14"/>
      <c r="E24" s="20"/>
      <c r="F24" s="14"/>
      <c r="G24" s="14"/>
      <c r="H24" s="14"/>
      <c r="I24" s="14"/>
      <c r="J24" s="14"/>
      <c r="K24" s="25"/>
      <c r="L24" s="25"/>
      <c r="M24" s="25"/>
      <c r="N24" s="25"/>
      <c r="O24" s="25"/>
      <c r="P24" s="25"/>
      <c r="Q24" s="14"/>
      <c r="R24" s="14"/>
      <c r="S24" s="14"/>
      <c r="T24" s="14"/>
      <c r="U24" s="14"/>
      <c r="V24" s="14"/>
      <c r="W24" s="14"/>
    </row>
    <row r="25" spans="1:23" x14ac:dyDescent="0.25">
      <c r="A25" s="18"/>
      <c r="B25" s="21"/>
      <c r="C25" s="19"/>
      <c r="D25" s="21"/>
      <c r="E25" s="19"/>
      <c r="F25" s="21"/>
      <c r="G25" s="21"/>
      <c r="H25" s="21"/>
      <c r="I25" s="21"/>
      <c r="J25" s="21"/>
      <c r="K25" s="26"/>
      <c r="L25" s="26"/>
      <c r="M25" s="26"/>
      <c r="N25" s="26"/>
      <c r="O25" s="26"/>
      <c r="P25" s="26"/>
      <c r="Q25" s="21"/>
      <c r="R25" s="21"/>
      <c r="S25" s="21"/>
      <c r="T25" s="21"/>
      <c r="U25" s="21"/>
      <c r="V25" s="21"/>
      <c r="W25" s="21"/>
    </row>
  </sheetData>
  <mergeCells count="1">
    <mergeCell ref="A1:B1"/>
  </mergeCells>
  <conditionalFormatting sqref="K5:Q5 S5:T5">
    <cfRule type="cellIs" dxfId="8" priority="207" operator="lessThan">
      <formula>0</formula>
    </cfRule>
  </conditionalFormatting>
  <conditionalFormatting sqref="K13:Q13 K19:Q19 S13:T13 S19:T19">
    <cfRule type="cellIs" dxfId="7" priority="199" operator="lessThan">
      <formula>0</formula>
    </cfRule>
  </conditionalFormatting>
  <conditionalFormatting sqref="K9:Q10 S9:T10">
    <cfRule type="cellIs" dxfId="6" priority="166" operator="lessThan">
      <formula>0</formula>
    </cfRule>
  </conditionalFormatting>
  <conditionalFormatting sqref="K20:Q20 S20:T20 S22:T22 K22:Q22">
    <cfRule type="cellIs" dxfId="5" priority="165" operator="lessThan">
      <formula>0</formula>
    </cfRule>
  </conditionalFormatting>
  <conditionalFormatting sqref="K15:Q16 S15:T16">
    <cfRule type="cellIs" dxfId="4" priority="164" operator="lessThan">
      <formula>0</formula>
    </cfRule>
  </conditionalFormatting>
  <conditionalFormatting sqref="K6:Q8 S6:T8">
    <cfRule type="cellIs" dxfId="3" priority="90" operator="lessThan">
      <formula>0</formula>
    </cfRule>
  </conditionalFormatting>
  <conditionalFormatting sqref="K23:Q23 S23:T23">
    <cfRule type="cellIs" dxfId="2" priority="89" operator="lessThan">
      <formula>0</formula>
    </cfRule>
  </conditionalFormatting>
  <conditionalFormatting sqref="K21:Q21 S21:T21">
    <cfRule type="cellIs" dxfId="1" priority="88" operator="lessThan">
      <formula>0</formula>
    </cfRule>
  </conditionalFormatting>
  <conditionalFormatting sqref="K14:Q14 S14:T14">
    <cfRule type="cellIs" dxfId="0" priority="87" operator="lessThan">
      <formula>0</formula>
    </cfRule>
  </conditionalFormatting>
  <pageMargins left="0.25" right="0.25" top="0.5" bottom="0.5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 Wines (3)</vt:lpstr>
      <vt:lpstr>'Indiv Wines (3)'!Print_Area</vt:lpstr>
      <vt:lpstr>'Indiv Wines (3)'!Print_Titles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2018-10-30T15:06:18Z</cp:lastPrinted>
  <dcterms:created xsi:type="dcterms:W3CDTF">2013-07-04T16:52:36Z</dcterms:created>
  <dcterms:modified xsi:type="dcterms:W3CDTF">2018-10-30T15:06:24Z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